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80" windowHeight="5775" firstSheet="1" activeTab="6"/>
  </bookViews>
  <sheets>
    <sheet name="BALANCE" sheetId="1" r:id="rId1"/>
    <sheet name="CR" sheetId="2" r:id="rId2"/>
    <sheet name="ANÁLISIS" sheetId="3" r:id="rId3"/>
    <sheet name="EVOLUCIÓN" sheetId="4" r:id="rId4"/>
    <sheet name="COMPOSICIÓN" sheetId="5" r:id="rId5"/>
    <sheet name="RATIOS" sheetId="6" r:id="rId6"/>
    <sheet name="ALERTA" sheetId="7" r:id="rId7"/>
  </sheets>
  <definedNames>
    <definedName name="compra">'CR'!$B$8</definedName>
    <definedName name="descuento">'CR'!$B$12</definedName>
    <definedName name="impuesto">'CR'!$B$17</definedName>
    <definedName name="personal">'CR'!$B$11</definedName>
    <definedName name="suministro">'CR'!$B$10</definedName>
    <definedName name="transporte">'CR'!$B$9</definedName>
  </definedNames>
  <calcPr fullCalcOnLoad="1"/>
</workbook>
</file>

<file path=xl/sharedStrings.xml><?xml version="1.0" encoding="utf-8"?>
<sst xmlns="http://schemas.openxmlformats.org/spreadsheetml/2006/main" count="126" uniqueCount="63">
  <si>
    <t>Inmovilizado</t>
  </si>
  <si>
    <t>Existencias</t>
  </si>
  <si>
    <t>Realizable</t>
  </si>
  <si>
    <t>Disponible</t>
  </si>
  <si>
    <t>Año 1994</t>
  </si>
  <si>
    <t>Año 1995</t>
  </si>
  <si>
    <t>Año 1996</t>
  </si>
  <si>
    <t>Año 1997</t>
  </si>
  <si>
    <t>Año 1998</t>
  </si>
  <si>
    <t>Año 1999</t>
  </si>
  <si>
    <t>Exigible CP</t>
  </si>
  <si>
    <t>Exigible LP</t>
  </si>
  <si>
    <t>Capital y Reservas</t>
  </si>
  <si>
    <t>Ventas</t>
  </si>
  <si>
    <t>BAIT</t>
  </si>
  <si>
    <t>Ingresos financieros</t>
  </si>
  <si>
    <t>Gastos financieros</t>
  </si>
  <si>
    <t>BAT</t>
  </si>
  <si>
    <t>Bº  Neto</t>
  </si>
  <si>
    <t>Beneficio Neto</t>
  </si>
  <si>
    <t>TOTAL ACTIVO</t>
  </si>
  <si>
    <t>TOTAL PASIVO</t>
  </si>
  <si>
    <t xml:space="preserve"> =SI(C11=C18;"cuadra";"no cuadra")</t>
  </si>
  <si>
    <t>Fondo de maniobra</t>
  </si>
  <si>
    <t>¿suspensión de pagos?</t>
  </si>
  <si>
    <t>¿Quiebra?</t>
  </si>
  <si>
    <t xml:space="preserve"> =SUMA(BALANCE!C8:C10)-BALANCE!C17</t>
  </si>
  <si>
    <t xml:space="preserve"> =SI(D7&gt;=0;".";"SI")</t>
  </si>
  <si>
    <t xml:space="preserve"> =SI(BALANCE!E11&lt;SUMA(BALANCE!E16:E17);"SI";". . .")</t>
  </si>
  <si>
    <t>Activo Circulante</t>
  </si>
  <si>
    <t>Pasivo Circulante</t>
  </si>
  <si>
    <t>Fondo Maniobra</t>
  </si>
  <si>
    <t>Neto Patrimonial</t>
  </si>
  <si>
    <t xml:space="preserve">RENT. ECONÓMICA </t>
  </si>
  <si>
    <t xml:space="preserve">RENT. FINANCIERA </t>
  </si>
  <si>
    <t xml:space="preserve">LIQUIDEZ MEDIO PLAZO </t>
  </si>
  <si>
    <t xml:space="preserve">LIQUIDEZ INMEDIATA </t>
  </si>
  <si>
    <t xml:space="preserve">RATIO TESORERÍA </t>
  </si>
  <si>
    <t xml:space="preserve">ENDEUDAMIENTO </t>
  </si>
  <si>
    <t xml:space="preserve">INMOV. CUBIERTO CON FONDOS PROPIOS </t>
  </si>
  <si>
    <t xml:space="preserve">COBERTURA CARGAS FINANCIERAS </t>
  </si>
  <si>
    <t xml:space="preserve">ROI </t>
  </si>
  <si>
    <t>ROTAC. DEL ACTIVO</t>
  </si>
  <si>
    <t>ROTAC. DEL ACTIVO FIJO</t>
  </si>
  <si>
    <t>ROTAC. DEL CIRCULANTE</t>
  </si>
  <si>
    <t>ROTAC. DEL PASIVO FIJO</t>
  </si>
  <si>
    <t>Recursos propios</t>
  </si>
  <si>
    <t>Realización: Prof. Dr. Alfonso López Viñegla</t>
  </si>
  <si>
    <t>http://cuadrodemando.unizar.es</t>
  </si>
  <si>
    <t xml:space="preserve"> =SI(ANÁLISIS!C9="SI";"QUIEBRA";CR!C18/SUMA(BALANCE!C14:C15))</t>
  </si>
  <si>
    <t>D5</t>
  </si>
  <si>
    <t xml:space="preserve"> =SI(ANÁLISIS!C8="SI";"SUSPENSIÓN";SUMA(BALANCE!C16:C17)/SUMA(BALANCE!C14:C15))</t>
  </si>
  <si>
    <t>D12</t>
  </si>
  <si>
    <t xml:space="preserve"> =CR!C13/PROMEDIO(BALANCE!$C11:$H11)</t>
  </si>
  <si>
    <t>D17</t>
  </si>
  <si>
    <t xml:space="preserve"> =(CR!C7-CR!C12)/PROMEDIO(BALANCE!$C7:$H7)</t>
  </si>
  <si>
    <t>D19</t>
  </si>
  <si>
    <t>D21</t>
  </si>
  <si>
    <t xml:space="preserve"> =SI(CR!C16&lt;0;" BAT &lt; 0 ";SI(ANÁLISIS!C20&lt;0;" RP &lt; 0";CR!C16/PROMEDIO(ANÁLISIS!C20:H20)))</t>
  </si>
  <si>
    <t>LÍMITE</t>
  </si>
  <si>
    <t>TABLA DE ALERTA</t>
  </si>
  <si>
    <t xml:space="preserve">ESTRUCTURA ACTIVO (% A.C.) </t>
  </si>
  <si>
    <t>TABLA DE DESVIACIONES</t>
  </si>
</sst>
</file>

<file path=xl/styles.xml><?xml version="1.0" encoding="utf-8"?>
<styleSheet xmlns="http://schemas.openxmlformats.org/spreadsheetml/2006/main">
  <numFmts count="4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;[Red]\-#,##0"/>
    <numFmt numFmtId="173" formatCode="&quot;Compras     (&quot;0.0%&quot;)&quot;"/>
    <numFmt numFmtId="174" formatCode="&quot;Transportes     (&quot;0.0%&quot;)&quot;"/>
    <numFmt numFmtId="175" formatCode="&quot;Suministros     (&quot;0.0%&quot;)&quot;"/>
    <numFmt numFmtId="176" formatCode="&quot;Personal     (&quot;0.0%&quot;)&quot;"/>
    <numFmt numFmtId="177" formatCode="&quot;Descuentosl     (&quot;0.0%&quot;)&quot;"/>
    <numFmt numFmtId="178" formatCode="&quot;Descuentos     (&quot;0.0%&quot;)&quot;"/>
    <numFmt numFmtId="179" formatCode="&quot;Impuesto Soc     (&quot;0.0%&quot;)&quot;"/>
    <numFmt numFmtId="180" formatCode="&quot;Imptº Sociedades     (&quot;0.0%&quot;)&quot;"/>
    <numFmt numFmtId="181" formatCode="#,##0.00;[Red]\-#,##0.00"/>
    <numFmt numFmtId="182" formatCode="0.0"/>
    <numFmt numFmtId="183" formatCode="#,##0.000;[Red]\-#,##0.000"/>
    <numFmt numFmtId="184" formatCode="#,##0.0;[Red]\-#,##0.0"/>
    <numFmt numFmtId="185" formatCode="0.0%"/>
    <numFmt numFmtId="186" formatCode="0.00%;[Red]0.00%"/>
    <numFmt numFmtId="187" formatCode="[Black]0.00%;[Red]0.00%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[Black]0.000;[Red]0.000"/>
    <numFmt numFmtId="196" formatCode="[Red]0.00%"/>
    <numFmt numFmtId="197" formatCode="[Red]0.00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sz val="17.75"/>
      <name val="Arial"/>
      <family val="0"/>
    </font>
    <font>
      <sz val="12"/>
      <name val="Arial"/>
      <family val="0"/>
    </font>
    <font>
      <sz val="8"/>
      <name val="Verdana"/>
      <family val="2"/>
    </font>
    <font>
      <i/>
      <sz val="8"/>
      <name val="Verdana"/>
      <family val="2"/>
    </font>
    <font>
      <sz val="3.5"/>
      <name val="Arial"/>
      <family val="0"/>
    </font>
    <font>
      <b/>
      <sz val="8"/>
      <color indexed="10"/>
      <name val="Arial"/>
      <family val="2"/>
    </font>
    <font>
      <b/>
      <u val="single"/>
      <sz val="12"/>
      <color indexed="58"/>
      <name val="Arial"/>
      <family val="2"/>
    </font>
    <font>
      <b/>
      <sz val="8"/>
      <name val="Tw Cen MT"/>
      <family val="2"/>
    </font>
    <font>
      <sz val="8"/>
      <name val="Tw Cen MT"/>
      <family val="2"/>
    </font>
    <font>
      <sz val="9"/>
      <name val="Tw Cen MT"/>
      <family val="2"/>
    </font>
    <font>
      <sz val="9"/>
      <color indexed="18"/>
      <name val="Tw Cen MT"/>
      <family val="2"/>
    </font>
    <font>
      <sz val="9"/>
      <color indexed="8"/>
      <name val="Tw Cen MT"/>
      <family val="2"/>
    </font>
    <font>
      <b/>
      <u val="single"/>
      <sz val="8"/>
      <name val="Tw Cen MT"/>
      <family val="2"/>
    </font>
    <font>
      <sz val="8"/>
      <color indexed="8"/>
      <name val="Tw Cen MT"/>
      <family val="2"/>
    </font>
    <font>
      <b/>
      <sz val="8"/>
      <color indexed="18"/>
      <name val="Tw Cen MT"/>
      <family val="2"/>
    </font>
    <font>
      <u val="single"/>
      <sz val="10"/>
      <color indexed="12"/>
      <name val="Arial"/>
      <family val="0"/>
    </font>
    <font>
      <b/>
      <u val="single"/>
      <sz val="8"/>
      <color indexed="9"/>
      <name val="Tw Cen MT"/>
      <family val="2"/>
    </font>
    <font>
      <sz val="8"/>
      <color indexed="9"/>
      <name val="Tw Cen MT"/>
      <family val="2"/>
    </font>
    <font>
      <u val="single"/>
      <sz val="10"/>
      <color indexed="12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b/>
      <sz val="11"/>
      <color indexed="16"/>
      <name val="Tw Cen MT"/>
      <family val="2"/>
    </font>
    <font>
      <b/>
      <sz val="14"/>
      <color indexed="16"/>
      <name val="Tw Cen MT"/>
      <family val="2"/>
    </font>
    <font>
      <sz val="9"/>
      <color indexed="41"/>
      <name val="Tw Cen MT"/>
      <family val="2"/>
    </font>
    <font>
      <b/>
      <u val="single"/>
      <sz val="9"/>
      <color indexed="16"/>
      <name val="Tw Cen MT"/>
      <family val="2"/>
    </font>
    <font>
      <b/>
      <sz val="8"/>
      <color indexed="16"/>
      <name val="Tw Cen MT"/>
      <family val="2"/>
    </font>
    <font>
      <sz val="18"/>
      <color indexed="16"/>
      <name val="Wingdings"/>
      <family val="0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73" fontId="4" fillId="2" borderId="5" xfId="20" applyNumberFormat="1" applyFont="1" applyFill="1" applyBorder="1" applyAlignment="1">
      <alignment horizontal="center"/>
    </xf>
    <xf numFmtId="174" fontId="4" fillId="2" borderId="5" xfId="20" applyNumberFormat="1" applyFont="1" applyFill="1" applyBorder="1" applyAlignment="1">
      <alignment horizontal="center"/>
    </xf>
    <xf numFmtId="175" fontId="4" fillId="2" borderId="5" xfId="20" applyNumberFormat="1" applyFont="1" applyFill="1" applyBorder="1" applyAlignment="1">
      <alignment horizontal="center"/>
    </xf>
    <xf numFmtId="176" fontId="4" fillId="2" borderId="5" xfId="20" applyNumberFormat="1" applyFont="1" applyFill="1" applyBorder="1" applyAlignment="1">
      <alignment horizontal="center"/>
    </xf>
    <xf numFmtId="178" fontId="4" fillId="2" borderId="5" xfId="20" applyNumberFormat="1" applyFont="1" applyFill="1" applyBorder="1" applyAlignment="1">
      <alignment horizontal="center"/>
    </xf>
    <xf numFmtId="180" fontId="4" fillId="2" borderId="5" xfId="20" applyNumberFormat="1" applyFont="1" applyFill="1" applyBorder="1" applyAlignment="1">
      <alignment horizontal="center"/>
    </xf>
    <xf numFmtId="181" fontId="2" fillId="0" borderId="9" xfId="17" applyNumberFormat="1" applyFont="1" applyBorder="1" applyAlignment="1">
      <alignment horizontal="center"/>
    </xf>
    <xf numFmtId="181" fontId="2" fillId="0" borderId="10" xfId="17" applyNumberFormat="1" applyFont="1" applyBorder="1" applyAlignment="1">
      <alignment horizontal="center"/>
    </xf>
    <xf numFmtId="181" fontId="2" fillId="0" borderId="11" xfId="17" applyNumberFormat="1" applyFont="1" applyBorder="1" applyAlignment="1">
      <alignment horizontal="center"/>
    </xf>
    <xf numFmtId="181" fontId="2" fillId="0" borderId="12" xfId="17" applyNumberFormat="1" applyFont="1" applyBorder="1" applyAlignment="1">
      <alignment horizontal="center"/>
    </xf>
    <xf numFmtId="181" fontId="2" fillId="0" borderId="13" xfId="17" applyNumberFormat="1" applyFont="1" applyBorder="1" applyAlignment="1">
      <alignment horizontal="center"/>
    </xf>
    <xf numFmtId="181" fontId="2" fillId="0" borderId="14" xfId="17" applyNumberFormat="1" applyFont="1" applyBorder="1" applyAlignment="1">
      <alignment horizontal="center"/>
    </xf>
    <xf numFmtId="181" fontId="2" fillId="0" borderId="15" xfId="17" applyNumberFormat="1" applyFont="1" applyBorder="1" applyAlignment="1">
      <alignment horizontal="center"/>
    </xf>
    <xf numFmtId="181" fontId="2" fillId="0" borderId="16" xfId="17" applyNumberFormat="1" applyFont="1" applyBorder="1" applyAlignment="1">
      <alignment horizontal="center"/>
    </xf>
    <xf numFmtId="181" fontId="2" fillId="0" borderId="17" xfId="17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81" fontId="7" fillId="2" borderId="18" xfId="17" applyNumberFormat="1" applyFont="1" applyFill="1" applyBorder="1" applyAlignment="1">
      <alignment horizontal="center"/>
    </xf>
    <xf numFmtId="181" fontId="7" fillId="2" borderId="19" xfId="17" applyNumberFormat="1" applyFont="1" applyFill="1" applyBorder="1" applyAlignment="1">
      <alignment horizontal="center"/>
    </xf>
    <xf numFmtId="181" fontId="7" fillId="2" borderId="20" xfId="17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81" fontId="9" fillId="4" borderId="21" xfId="17" applyNumberFormat="1" applyFont="1" applyFill="1" applyBorder="1" applyAlignment="1">
      <alignment horizontal="center"/>
    </xf>
    <xf numFmtId="181" fontId="9" fillId="4" borderId="19" xfId="17" applyNumberFormat="1" applyFont="1" applyFill="1" applyBorder="1" applyAlignment="1">
      <alignment horizontal="center"/>
    </xf>
    <xf numFmtId="181" fontId="9" fillId="4" borderId="20" xfId="17" applyNumberFormat="1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181" fontId="10" fillId="4" borderId="21" xfId="17" applyNumberFormat="1" applyFont="1" applyFill="1" applyBorder="1" applyAlignment="1">
      <alignment horizontal="center"/>
    </xf>
    <xf numFmtId="181" fontId="10" fillId="4" borderId="19" xfId="17" applyNumberFormat="1" applyFont="1" applyFill="1" applyBorder="1" applyAlignment="1">
      <alignment horizontal="center"/>
    </xf>
    <xf numFmtId="181" fontId="10" fillId="4" borderId="20" xfId="17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1" fontId="10" fillId="0" borderId="9" xfId="17" applyNumberFormat="1" applyFont="1" applyBorder="1" applyAlignment="1">
      <alignment horizontal="center"/>
    </xf>
    <xf numFmtId="181" fontId="10" fillId="0" borderId="10" xfId="17" applyNumberFormat="1" applyFont="1" applyBorder="1" applyAlignment="1">
      <alignment horizontal="center"/>
    </xf>
    <xf numFmtId="181" fontId="10" fillId="0" borderId="11" xfId="17" applyNumberFormat="1" applyFont="1" applyBorder="1" applyAlignment="1">
      <alignment horizontal="center"/>
    </xf>
    <xf numFmtId="181" fontId="10" fillId="0" borderId="12" xfId="17" applyNumberFormat="1" applyFont="1" applyBorder="1" applyAlignment="1">
      <alignment horizontal="center"/>
    </xf>
    <xf numFmtId="181" fontId="10" fillId="0" borderId="13" xfId="17" applyNumberFormat="1" applyFont="1" applyBorder="1" applyAlignment="1">
      <alignment horizontal="center"/>
    </xf>
    <xf numFmtId="181" fontId="10" fillId="0" borderId="24" xfId="17" applyNumberFormat="1" applyFont="1" applyBorder="1" applyAlignment="1">
      <alignment horizontal="center"/>
    </xf>
    <xf numFmtId="181" fontId="10" fillId="0" borderId="25" xfId="17" applyNumberFormat="1" applyFont="1" applyBorder="1" applyAlignment="1">
      <alignment horizontal="center"/>
    </xf>
    <xf numFmtId="181" fontId="11" fillId="0" borderId="14" xfId="17" applyNumberFormat="1" applyFont="1" applyBorder="1" applyAlignment="1">
      <alignment horizontal="center"/>
    </xf>
    <xf numFmtId="181" fontId="11" fillId="0" borderId="26" xfId="17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72" fontId="2" fillId="0" borderId="12" xfId="17" applyNumberFormat="1" applyFont="1" applyBorder="1" applyAlignment="1">
      <alignment horizontal="center"/>
    </xf>
    <xf numFmtId="172" fontId="2" fillId="0" borderId="13" xfId="17" applyNumberFormat="1" applyFont="1" applyBorder="1" applyAlignment="1">
      <alignment horizontal="center"/>
    </xf>
    <xf numFmtId="172" fontId="2" fillId="0" borderId="14" xfId="17" applyNumberFormat="1" applyFont="1" applyBorder="1" applyAlignment="1">
      <alignment horizontal="center"/>
    </xf>
    <xf numFmtId="172" fontId="2" fillId="0" borderId="27" xfId="17" applyNumberFormat="1" applyFont="1" applyBorder="1" applyAlignment="1">
      <alignment horizontal="center"/>
    </xf>
    <xf numFmtId="172" fontId="2" fillId="0" borderId="28" xfId="17" applyNumberFormat="1" applyFont="1" applyBorder="1" applyAlignment="1">
      <alignment horizontal="center"/>
    </xf>
    <xf numFmtId="172" fontId="2" fillId="0" borderId="29" xfId="17" applyNumberFormat="1" applyFont="1" applyBorder="1" applyAlignment="1">
      <alignment horizontal="center"/>
    </xf>
    <xf numFmtId="172" fontId="10" fillId="4" borderId="21" xfId="17" applyNumberFormat="1" applyFont="1" applyFill="1" applyBorder="1" applyAlignment="1">
      <alignment horizontal="center"/>
    </xf>
    <xf numFmtId="172" fontId="10" fillId="4" borderId="19" xfId="17" applyNumberFormat="1" applyFont="1" applyFill="1" applyBorder="1" applyAlignment="1">
      <alignment horizontal="center"/>
    </xf>
    <xf numFmtId="172" fontId="10" fillId="4" borderId="20" xfId="17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172" fontId="2" fillId="0" borderId="5" xfId="17" applyNumberFormat="1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72" fontId="2" fillId="0" borderId="23" xfId="17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25" fillId="6" borderId="32" xfId="0" applyFont="1" applyFill="1" applyBorder="1" applyAlignment="1">
      <alignment horizontal="right"/>
    </xf>
    <xf numFmtId="0" fontId="25" fillId="6" borderId="33" xfId="0" applyFont="1" applyFill="1" applyBorder="1" applyAlignment="1">
      <alignment horizontal="right"/>
    </xf>
    <xf numFmtId="0" fontId="25" fillId="6" borderId="34" xfId="0" applyFont="1" applyFill="1" applyBorder="1" applyAlignment="1">
      <alignment horizontal="right"/>
    </xf>
    <xf numFmtId="0" fontId="24" fillId="7" borderId="35" xfId="0" applyFont="1" applyFill="1" applyBorder="1" applyAlignment="1">
      <alignment horizontal="right"/>
    </xf>
    <xf numFmtId="0" fontId="24" fillId="7" borderId="36" xfId="0" applyFont="1" applyFill="1" applyBorder="1" applyAlignment="1">
      <alignment horizontal="right"/>
    </xf>
    <xf numFmtId="0" fontId="24" fillId="7" borderId="37" xfId="0" applyFont="1" applyFill="1" applyBorder="1" applyAlignment="1">
      <alignment horizontal="right"/>
    </xf>
    <xf numFmtId="0" fontId="26" fillId="7" borderId="37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8" fillId="7" borderId="35" xfId="0" applyFont="1" applyFill="1" applyBorder="1" applyAlignment="1">
      <alignment horizontal="right"/>
    </xf>
    <xf numFmtId="172" fontId="2" fillId="0" borderId="1" xfId="17" applyNumberFormat="1" applyFont="1" applyBorder="1" applyAlignment="1">
      <alignment horizontal="center"/>
    </xf>
    <xf numFmtId="172" fontId="2" fillId="0" borderId="2" xfId="17" applyNumberFormat="1" applyFont="1" applyBorder="1" applyAlignment="1">
      <alignment horizontal="center"/>
    </xf>
    <xf numFmtId="172" fontId="2" fillId="0" borderId="3" xfId="17" applyNumberFormat="1" applyFont="1" applyBorder="1" applyAlignment="1">
      <alignment horizontal="center"/>
    </xf>
    <xf numFmtId="181" fontId="2" fillId="0" borderId="9" xfId="17" applyNumberFormat="1" applyFont="1" applyBorder="1" applyAlignment="1" applyProtection="1">
      <alignment horizontal="center"/>
      <protection locked="0"/>
    </xf>
    <xf numFmtId="181" fontId="2" fillId="0" borderId="10" xfId="17" applyNumberFormat="1" applyFont="1" applyBorder="1" applyAlignment="1" applyProtection="1">
      <alignment horizontal="center"/>
      <protection locked="0"/>
    </xf>
    <xf numFmtId="181" fontId="2" fillId="0" borderId="11" xfId="17" applyNumberFormat="1" applyFont="1" applyBorder="1" applyAlignment="1" applyProtection="1">
      <alignment horizontal="center"/>
      <protection locked="0"/>
    </xf>
    <xf numFmtId="181" fontId="2" fillId="0" borderId="12" xfId="17" applyNumberFormat="1" applyFont="1" applyBorder="1" applyAlignment="1" applyProtection="1">
      <alignment horizontal="center"/>
      <protection locked="0"/>
    </xf>
    <xf numFmtId="181" fontId="2" fillId="0" borderId="13" xfId="17" applyNumberFormat="1" applyFont="1" applyBorder="1" applyAlignment="1" applyProtection="1">
      <alignment horizontal="center"/>
      <protection locked="0"/>
    </xf>
    <xf numFmtId="181" fontId="2" fillId="0" borderId="14" xfId="17" applyNumberFormat="1" applyFont="1" applyBorder="1" applyAlignment="1" applyProtection="1">
      <alignment horizontal="center"/>
      <protection locked="0"/>
    </xf>
    <xf numFmtId="181" fontId="2" fillId="0" borderId="27" xfId="17" applyNumberFormat="1" applyFont="1" applyBorder="1" applyAlignment="1" applyProtection="1">
      <alignment horizontal="center"/>
      <protection locked="0"/>
    </xf>
    <xf numFmtId="181" fontId="2" fillId="0" borderId="28" xfId="17" applyNumberFormat="1" applyFont="1" applyBorder="1" applyAlignment="1" applyProtection="1">
      <alignment horizontal="center"/>
      <protection locked="0"/>
    </xf>
    <xf numFmtId="181" fontId="2" fillId="0" borderId="29" xfId="17" applyNumberFormat="1" applyFont="1" applyBorder="1" applyAlignment="1" applyProtection="1">
      <alignment horizontal="center"/>
      <protection locked="0"/>
    </xf>
    <xf numFmtId="181" fontId="2" fillId="0" borderId="38" xfId="17" applyNumberFormat="1" applyFont="1" applyBorder="1" applyAlignment="1" applyProtection="1">
      <alignment horizontal="center"/>
      <protection locked="0"/>
    </xf>
    <xf numFmtId="181" fontId="2" fillId="0" borderId="39" xfId="17" applyNumberFormat="1" applyFont="1" applyBorder="1" applyAlignment="1" applyProtection="1">
      <alignment horizontal="center"/>
      <protection locked="0"/>
    </xf>
    <xf numFmtId="181" fontId="2" fillId="0" borderId="40" xfId="17" applyNumberFormat="1" applyFont="1" applyBorder="1" applyAlignment="1" applyProtection="1">
      <alignment horizontal="center"/>
      <protection locked="0"/>
    </xf>
    <xf numFmtId="0" fontId="31" fillId="8" borderId="0" xfId="0" applyFont="1" applyFill="1" applyAlignment="1">
      <alignment horizontal="left"/>
    </xf>
    <xf numFmtId="0" fontId="32" fillId="8" borderId="0" xfId="0" applyFont="1" applyFill="1" applyAlignment="1">
      <alignment horizontal="center"/>
    </xf>
    <xf numFmtId="0" fontId="32" fillId="6" borderId="0" xfId="0" applyFont="1" applyFill="1" applyAlignment="1">
      <alignment horizontal="center"/>
    </xf>
    <xf numFmtId="0" fontId="33" fillId="6" borderId="0" xfId="15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8" borderId="0" xfId="0" applyFont="1" applyFill="1" applyAlignment="1">
      <alignment horizontal="center"/>
    </xf>
    <xf numFmtId="186" fontId="22" fillId="0" borderId="41" xfId="20" applyNumberFormat="1" applyFont="1" applyBorder="1" applyAlignment="1">
      <alignment horizontal="center"/>
    </xf>
    <xf numFmtId="186" fontId="22" fillId="0" borderId="42" xfId="20" applyNumberFormat="1" applyFont="1" applyBorder="1" applyAlignment="1">
      <alignment horizontal="center"/>
    </xf>
    <xf numFmtId="186" fontId="22" fillId="0" borderId="43" xfId="20" applyNumberFormat="1" applyFont="1" applyBorder="1" applyAlignment="1">
      <alignment horizontal="center"/>
    </xf>
    <xf numFmtId="187" fontId="29" fillId="0" borderId="44" xfId="20" applyNumberFormat="1" applyFont="1" applyBorder="1" applyAlignment="1">
      <alignment horizontal="center"/>
    </xf>
    <xf numFmtId="187" fontId="29" fillId="0" borderId="0" xfId="20" applyNumberFormat="1" applyFont="1" applyBorder="1" applyAlignment="1">
      <alignment horizontal="center"/>
    </xf>
    <xf numFmtId="187" fontId="29" fillId="0" borderId="45" xfId="20" applyNumberFormat="1" applyFont="1" applyBorder="1" applyAlignment="1">
      <alignment horizontal="center"/>
    </xf>
    <xf numFmtId="0" fontId="22" fillId="9" borderId="44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2" fillId="9" borderId="45" xfId="0" applyFont="1" applyFill="1" applyBorder="1" applyAlignment="1">
      <alignment horizontal="center"/>
    </xf>
    <xf numFmtId="188" fontId="22" fillId="0" borderId="44" xfId="0" applyNumberFormat="1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188" fontId="22" fillId="0" borderId="45" xfId="0" applyNumberFormat="1" applyFont="1" applyBorder="1" applyAlignment="1">
      <alignment horizontal="center"/>
    </xf>
    <xf numFmtId="10" fontId="22" fillId="0" borderId="44" xfId="20" applyNumberFormat="1" applyFont="1" applyBorder="1" applyAlignment="1">
      <alignment horizontal="center"/>
    </xf>
    <xf numFmtId="10" fontId="22" fillId="0" borderId="0" xfId="20" applyNumberFormat="1" applyFont="1" applyBorder="1" applyAlignment="1">
      <alignment horizontal="center"/>
    </xf>
    <xf numFmtId="10" fontId="22" fillId="0" borderId="45" xfId="20" applyNumberFormat="1" applyFont="1" applyBorder="1" applyAlignment="1">
      <alignment horizontal="center"/>
    </xf>
    <xf numFmtId="195" fontId="29" fillId="0" borderId="44" xfId="0" applyNumberFormat="1" applyFont="1" applyBorder="1" applyAlignment="1">
      <alignment horizontal="center"/>
    </xf>
    <xf numFmtId="195" fontId="29" fillId="0" borderId="0" xfId="0" applyNumberFormat="1" applyFont="1" applyBorder="1" applyAlignment="1">
      <alignment horizontal="center"/>
    </xf>
    <xf numFmtId="195" fontId="29" fillId="0" borderId="45" xfId="0" applyNumberFormat="1" applyFont="1" applyBorder="1" applyAlignment="1">
      <alignment horizontal="center"/>
    </xf>
    <xf numFmtId="185" fontId="22" fillId="0" borderId="44" xfId="20" applyNumberFormat="1" applyFont="1" applyBorder="1" applyAlignment="1">
      <alignment horizontal="center"/>
    </xf>
    <xf numFmtId="185" fontId="22" fillId="0" borderId="0" xfId="20" applyNumberFormat="1" applyFont="1" applyBorder="1" applyAlignment="1">
      <alignment horizontal="center"/>
    </xf>
    <xf numFmtId="185" fontId="22" fillId="0" borderId="45" xfId="20" applyNumberFormat="1" applyFont="1" applyBorder="1" applyAlignment="1">
      <alignment horizontal="center"/>
    </xf>
    <xf numFmtId="195" fontId="29" fillId="0" borderId="46" xfId="0" applyNumberFormat="1" applyFont="1" applyBorder="1" applyAlignment="1">
      <alignment horizontal="center"/>
    </xf>
    <xf numFmtId="195" fontId="29" fillId="0" borderId="47" xfId="0" applyNumberFormat="1" applyFont="1" applyBorder="1" applyAlignment="1">
      <alignment horizontal="center"/>
    </xf>
    <xf numFmtId="195" fontId="29" fillId="0" borderId="48" xfId="0" applyNumberFormat="1" applyFont="1" applyBorder="1" applyAlignment="1">
      <alignment horizontal="center"/>
    </xf>
    <xf numFmtId="0" fontId="27" fillId="10" borderId="49" xfId="0" applyFont="1" applyFill="1" applyBorder="1" applyAlignment="1">
      <alignment horizontal="center"/>
    </xf>
    <xf numFmtId="0" fontId="27" fillId="10" borderId="50" xfId="0" applyFont="1" applyFill="1" applyBorder="1" applyAlignment="1">
      <alignment horizontal="center"/>
    </xf>
    <xf numFmtId="0" fontId="27" fillId="10" borderId="51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0" fontId="34" fillId="7" borderId="0" xfId="0" applyFont="1" applyFill="1" applyAlignment="1">
      <alignment/>
    </xf>
    <xf numFmtId="0" fontId="22" fillId="7" borderId="0" xfId="0" applyFont="1" applyFill="1" applyAlignment="1">
      <alignment/>
    </xf>
    <xf numFmtId="0" fontId="36" fillId="7" borderId="0" xfId="0" applyFont="1" applyFill="1" applyAlignment="1">
      <alignment horizontal="center"/>
    </xf>
    <xf numFmtId="0" fontId="35" fillId="7" borderId="0" xfId="0" applyFont="1" applyFill="1" applyAlignment="1">
      <alignment/>
    </xf>
    <xf numFmtId="0" fontId="35" fillId="7" borderId="0" xfId="0" applyFont="1" applyFill="1" applyAlignment="1">
      <alignment horizontal="right"/>
    </xf>
    <xf numFmtId="0" fontId="37" fillId="7" borderId="0" xfId="0" applyFont="1" applyFill="1" applyAlignment="1">
      <alignment horizontal="center"/>
    </xf>
    <xf numFmtId="0" fontId="38" fillId="11" borderId="0" xfId="0" applyFont="1" applyFill="1" applyAlignment="1">
      <alignment horizontal="center" vertical="center"/>
    </xf>
    <xf numFmtId="0" fontId="39" fillId="0" borderId="0" xfId="0" applyFont="1" applyAlignment="1">
      <alignment horizontal="right"/>
    </xf>
    <xf numFmtId="0" fontId="25" fillId="6" borderId="32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86" fontId="22" fillId="10" borderId="52" xfId="20" applyNumberFormat="1" applyFont="1" applyFill="1" applyBorder="1" applyAlignment="1" applyProtection="1">
      <alignment horizontal="center" vertical="center"/>
      <protection locked="0"/>
    </xf>
    <xf numFmtId="186" fontId="41" fillId="0" borderId="41" xfId="20" applyNumberFormat="1" applyFont="1" applyBorder="1" applyAlignment="1">
      <alignment horizontal="center" vertical="center"/>
    </xf>
    <xf numFmtId="186" fontId="41" fillId="0" borderId="42" xfId="20" applyNumberFormat="1" applyFont="1" applyBorder="1" applyAlignment="1">
      <alignment horizontal="center" vertical="center"/>
    </xf>
    <xf numFmtId="186" fontId="41" fillId="0" borderId="43" xfId="20" applyNumberFormat="1" applyFont="1" applyBorder="1" applyAlignment="1">
      <alignment horizontal="center" vertical="center"/>
    </xf>
    <xf numFmtId="0" fontId="25" fillId="6" borderId="33" xfId="0" applyFont="1" applyFill="1" applyBorder="1" applyAlignment="1">
      <alignment horizontal="right" vertical="center"/>
    </xf>
    <xf numFmtId="187" fontId="22" fillId="10" borderId="53" xfId="20" applyNumberFormat="1" applyFont="1" applyFill="1" applyBorder="1" applyAlignment="1" applyProtection="1">
      <alignment horizontal="center" vertical="center"/>
      <protection locked="0"/>
    </xf>
    <xf numFmtId="187" fontId="41" fillId="0" borderId="44" xfId="20" applyNumberFormat="1" applyFont="1" applyBorder="1" applyAlignment="1">
      <alignment horizontal="center" vertical="center"/>
    </xf>
    <xf numFmtId="187" fontId="41" fillId="0" borderId="0" xfId="20" applyNumberFormat="1" applyFont="1" applyBorder="1" applyAlignment="1">
      <alignment horizontal="center" vertical="center"/>
    </xf>
    <xf numFmtId="187" fontId="41" fillId="0" borderId="45" xfId="2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11" borderId="53" xfId="0" applyFont="1" applyFill="1" applyBorder="1" applyAlignment="1">
      <alignment horizontal="center" vertical="center"/>
    </xf>
    <xf numFmtId="0" fontId="40" fillId="9" borderId="44" xfId="0" applyFont="1" applyFill="1" applyBorder="1" applyAlignment="1">
      <alignment horizontal="center" vertical="center"/>
    </xf>
    <xf numFmtId="0" fontId="40" fillId="9" borderId="0" xfId="0" applyFont="1" applyFill="1" applyBorder="1" applyAlignment="1">
      <alignment horizontal="center" vertical="center"/>
    </xf>
    <xf numFmtId="0" fontId="40" fillId="9" borderId="45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right" vertical="center"/>
    </xf>
    <xf numFmtId="188" fontId="22" fillId="12" borderId="53" xfId="0" applyNumberFormat="1" applyFont="1" applyFill="1" applyBorder="1" applyAlignment="1" applyProtection="1">
      <alignment horizontal="center" vertical="center"/>
      <protection locked="0"/>
    </xf>
    <xf numFmtId="188" fontId="41" fillId="0" borderId="44" xfId="0" applyNumberFormat="1" applyFont="1" applyBorder="1" applyAlignment="1">
      <alignment horizontal="center" vertical="center"/>
    </xf>
    <xf numFmtId="188" fontId="41" fillId="0" borderId="0" xfId="0" applyNumberFormat="1" applyFont="1" applyBorder="1" applyAlignment="1">
      <alignment horizontal="center" vertical="center"/>
    </xf>
    <xf numFmtId="188" fontId="41" fillId="0" borderId="45" xfId="0" applyNumberFormat="1" applyFont="1" applyBorder="1" applyAlignment="1">
      <alignment horizontal="center" vertical="center"/>
    </xf>
    <xf numFmtId="0" fontId="24" fillId="7" borderId="37" xfId="0" applyFont="1" applyFill="1" applyBorder="1" applyAlignment="1">
      <alignment horizontal="right" vertical="center"/>
    </xf>
    <xf numFmtId="10" fontId="22" fillId="10" borderId="53" xfId="20" applyNumberFormat="1" applyFont="1" applyFill="1" applyBorder="1" applyAlignment="1" applyProtection="1">
      <alignment horizontal="center" vertical="center"/>
      <protection locked="0"/>
    </xf>
    <xf numFmtId="195" fontId="22" fillId="10" borderId="53" xfId="0" applyNumberFormat="1" applyFont="1" applyFill="1" applyBorder="1" applyAlignment="1" applyProtection="1">
      <alignment horizontal="center" vertical="center"/>
      <protection locked="0"/>
    </xf>
    <xf numFmtId="0" fontId="28" fillId="7" borderId="35" xfId="0" applyFont="1" applyFill="1" applyBorder="1" applyAlignment="1">
      <alignment horizontal="right" vertical="center"/>
    </xf>
    <xf numFmtId="185" fontId="22" fillId="12" borderId="53" xfId="20" applyNumberFormat="1" applyFont="1" applyFill="1" applyBorder="1" applyAlignment="1" applyProtection="1">
      <alignment horizontal="center" vertical="center"/>
      <protection locked="0"/>
    </xf>
    <xf numFmtId="0" fontId="26" fillId="7" borderId="37" xfId="0" applyFont="1" applyFill="1" applyBorder="1" applyAlignment="1">
      <alignment horizontal="right" vertical="center"/>
    </xf>
    <xf numFmtId="0" fontId="25" fillId="6" borderId="34" xfId="0" applyFont="1" applyFill="1" applyBorder="1" applyAlignment="1">
      <alignment horizontal="right" vertical="center"/>
    </xf>
    <xf numFmtId="188" fontId="22" fillId="10" borderId="53" xfId="0" applyNumberFormat="1" applyFont="1" applyFill="1" applyBorder="1" applyAlignment="1" applyProtection="1">
      <alignment horizontal="center" vertical="center"/>
      <protection locked="0"/>
    </xf>
    <xf numFmtId="188" fontId="22" fillId="10" borderId="54" xfId="0" applyNumberFormat="1" applyFont="1" applyFill="1" applyBorder="1" applyAlignment="1" applyProtection="1">
      <alignment horizontal="center" vertical="center"/>
      <protection locked="0"/>
    </xf>
    <xf numFmtId="10" fontId="41" fillId="0" borderId="44" xfId="20" applyNumberFormat="1" applyFont="1" applyBorder="1" applyAlignment="1">
      <alignment horizontal="center" vertical="center"/>
    </xf>
    <xf numFmtId="10" fontId="41" fillId="0" borderId="0" xfId="20" applyNumberFormat="1" applyFont="1" applyBorder="1" applyAlignment="1">
      <alignment horizontal="center" vertical="center"/>
    </xf>
    <xf numFmtId="10" fontId="41" fillId="0" borderId="45" xfId="20" applyNumberFormat="1" applyFont="1" applyBorder="1" applyAlignment="1">
      <alignment horizontal="center" vertical="center"/>
    </xf>
    <xf numFmtId="195" fontId="41" fillId="0" borderId="44" xfId="0" applyNumberFormat="1" applyFont="1" applyBorder="1" applyAlignment="1">
      <alignment horizontal="center" vertical="center"/>
    </xf>
    <xf numFmtId="195" fontId="41" fillId="0" borderId="0" xfId="0" applyNumberFormat="1" applyFont="1" applyBorder="1" applyAlignment="1">
      <alignment horizontal="center" vertical="center"/>
    </xf>
    <xf numFmtId="195" fontId="41" fillId="0" borderId="45" xfId="0" applyNumberFormat="1" applyFont="1" applyBorder="1" applyAlignment="1">
      <alignment horizontal="center" vertical="center"/>
    </xf>
    <xf numFmtId="185" fontId="41" fillId="0" borderId="44" xfId="20" applyNumberFormat="1" applyFont="1" applyBorder="1" applyAlignment="1">
      <alignment horizontal="center" vertical="center"/>
    </xf>
    <xf numFmtId="185" fontId="41" fillId="0" borderId="0" xfId="20" applyNumberFormat="1" applyFont="1" applyBorder="1" applyAlignment="1">
      <alignment horizontal="center" vertical="center"/>
    </xf>
    <xf numFmtId="185" fontId="41" fillId="0" borderId="45" xfId="20" applyNumberFormat="1" applyFont="1" applyBorder="1" applyAlignment="1">
      <alignment horizontal="center" vertical="center"/>
    </xf>
    <xf numFmtId="188" fontId="41" fillId="0" borderId="46" xfId="0" applyNumberFormat="1" applyFont="1" applyBorder="1" applyAlignment="1">
      <alignment horizontal="center" vertical="center"/>
    </xf>
    <xf numFmtId="188" fontId="41" fillId="0" borderId="47" xfId="0" applyNumberFormat="1" applyFont="1" applyBorder="1" applyAlignment="1">
      <alignment horizontal="center" vertical="center"/>
    </xf>
    <xf numFmtId="188" fontId="41" fillId="0" borderId="48" xfId="0" applyNumberFormat="1" applyFont="1" applyBorder="1" applyAlignment="1">
      <alignment horizontal="center" vertical="center"/>
    </xf>
    <xf numFmtId="0" fontId="22" fillId="11" borderId="53" xfId="0" applyFont="1" applyFill="1" applyBorder="1" applyAlignment="1" applyProtection="1">
      <alignment horizontal="center" vertical="center"/>
      <protection locked="0"/>
    </xf>
    <xf numFmtId="186" fontId="42" fillId="0" borderId="41" xfId="20" applyNumberFormat="1" applyFont="1" applyBorder="1" applyAlignment="1">
      <alignment horizontal="center" vertical="center"/>
    </xf>
    <xf numFmtId="186" fontId="42" fillId="0" borderId="42" xfId="20" applyNumberFormat="1" applyFont="1" applyBorder="1" applyAlignment="1">
      <alignment horizontal="center" vertical="center"/>
    </xf>
    <xf numFmtId="186" fontId="42" fillId="0" borderId="43" xfId="20" applyNumberFormat="1" applyFont="1" applyBorder="1" applyAlignment="1">
      <alignment horizontal="center" vertical="center"/>
    </xf>
    <xf numFmtId="0" fontId="43" fillId="9" borderId="44" xfId="0" applyFont="1" applyFill="1" applyBorder="1" applyAlignment="1">
      <alignment horizontal="center" vertical="center"/>
    </xf>
    <xf numFmtId="0" fontId="43" fillId="9" borderId="0" xfId="0" applyFont="1" applyFill="1" applyBorder="1" applyAlignment="1">
      <alignment horizontal="center" vertical="center"/>
    </xf>
    <xf numFmtId="0" fontId="43" fillId="9" borderId="45" xfId="0" applyFont="1" applyFill="1" applyBorder="1" applyAlignment="1">
      <alignment horizontal="center" vertical="center"/>
    </xf>
    <xf numFmtId="188" fontId="42" fillId="0" borderId="44" xfId="0" applyNumberFormat="1" applyFont="1" applyBorder="1" applyAlignment="1">
      <alignment horizontal="center" vertical="center"/>
    </xf>
    <xf numFmtId="188" fontId="42" fillId="0" borderId="0" xfId="0" applyNumberFormat="1" applyFont="1" applyBorder="1" applyAlignment="1">
      <alignment horizontal="center" vertical="center"/>
    </xf>
    <xf numFmtId="188" fontId="42" fillId="0" borderId="45" xfId="0" applyNumberFormat="1" applyFont="1" applyBorder="1" applyAlignment="1">
      <alignment horizontal="center" vertical="center"/>
    </xf>
    <xf numFmtId="10" fontId="42" fillId="0" borderId="44" xfId="20" applyNumberFormat="1" applyFont="1" applyBorder="1" applyAlignment="1">
      <alignment horizontal="center" vertical="center"/>
    </xf>
    <xf numFmtId="10" fontId="42" fillId="0" borderId="0" xfId="20" applyNumberFormat="1" applyFont="1" applyBorder="1" applyAlignment="1">
      <alignment horizontal="center" vertical="center"/>
    </xf>
    <xf numFmtId="10" fontId="42" fillId="0" borderId="45" xfId="20" applyNumberFormat="1" applyFont="1" applyBorder="1" applyAlignment="1">
      <alignment horizontal="center" vertical="center"/>
    </xf>
    <xf numFmtId="185" fontId="42" fillId="0" borderId="44" xfId="20" applyNumberFormat="1" applyFont="1" applyBorder="1" applyAlignment="1">
      <alignment horizontal="center" vertical="center"/>
    </xf>
    <xf numFmtId="185" fontId="42" fillId="0" borderId="0" xfId="20" applyNumberFormat="1" applyFont="1" applyBorder="1" applyAlignment="1">
      <alignment horizontal="center" vertical="center"/>
    </xf>
    <xf numFmtId="185" fontId="42" fillId="0" borderId="45" xfId="20" applyNumberFormat="1" applyFont="1" applyBorder="1" applyAlignment="1">
      <alignment horizontal="center" vertical="center"/>
    </xf>
    <xf numFmtId="188" fontId="42" fillId="0" borderId="46" xfId="0" applyNumberFormat="1" applyFont="1" applyBorder="1" applyAlignment="1">
      <alignment horizontal="center" vertical="center"/>
    </xf>
    <xf numFmtId="188" fontId="42" fillId="0" borderId="47" xfId="0" applyNumberFormat="1" applyFont="1" applyBorder="1" applyAlignment="1">
      <alignment horizontal="center" vertical="center"/>
    </xf>
    <xf numFmtId="188" fontId="42" fillId="0" borderId="48" xfId="0" applyNumberFormat="1" applyFont="1" applyBorder="1" applyAlignment="1">
      <alignment horizontal="center" vertical="center"/>
    </xf>
    <xf numFmtId="196" fontId="42" fillId="0" borderId="44" xfId="20" applyNumberFormat="1" applyFont="1" applyBorder="1" applyAlignment="1">
      <alignment horizontal="center" vertical="center"/>
    </xf>
    <xf numFmtId="196" fontId="42" fillId="0" borderId="0" xfId="20" applyNumberFormat="1" applyFont="1" applyBorder="1" applyAlignment="1">
      <alignment horizontal="center" vertical="center"/>
    </xf>
    <xf numFmtId="196" fontId="42" fillId="0" borderId="45" xfId="20" applyNumberFormat="1" applyFont="1" applyBorder="1" applyAlignment="1">
      <alignment horizontal="center" vertical="center"/>
    </xf>
    <xf numFmtId="197" fontId="42" fillId="0" borderId="44" xfId="0" applyNumberFormat="1" applyFont="1" applyBorder="1" applyAlignment="1">
      <alignment horizontal="center" vertical="center"/>
    </xf>
    <xf numFmtId="197" fontId="42" fillId="0" borderId="0" xfId="0" applyNumberFormat="1" applyFont="1" applyBorder="1" applyAlignment="1">
      <alignment horizontal="center" vertical="center"/>
    </xf>
    <xf numFmtId="197" fontId="42" fillId="0" borderId="45" xfId="0" applyNumberFormat="1" applyFont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2" fontId="1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22" fillId="8" borderId="0" xfId="0" applyFont="1" applyFill="1" applyAlignment="1">
      <alignment/>
    </xf>
    <xf numFmtId="0" fontId="35" fillId="8" borderId="0" xfId="0" applyFont="1" applyFill="1" applyAlignment="1">
      <alignment horizontal="right"/>
    </xf>
    <xf numFmtId="0" fontId="24" fillId="8" borderId="0" xfId="0" applyFont="1" applyFill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"/>
          <c:w val="0.9645"/>
          <c:h val="0.86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EVOLUCIÓN!$B$3</c:f>
              <c:strCache>
                <c:ptCount val="1"/>
                <c:pt idx="0">
                  <c:v>Activo Circulante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EVOLUCIÓN!$C$2:$H$2</c:f>
              <c:strCache/>
            </c:strRef>
          </c:cat>
          <c:val>
            <c:numRef>
              <c:f>EVOLUCIÓN!$C$3:$H$3</c:f>
              <c:numCache/>
            </c:numRef>
          </c:val>
          <c:shape val="box"/>
        </c:ser>
        <c:ser>
          <c:idx val="1"/>
          <c:order val="1"/>
          <c:tx>
            <c:strRef>
              <c:f>EVOLUCIÓN!$B$4</c:f>
              <c:strCache>
                <c:ptCount val="1"/>
                <c:pt idx="0">
                  <c:v>Pasivo Circulante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EVOLUCIÓN!$C$2:$H$2</c:f>
              <c:strCache/>
            </c:strRef>
          </c:cat>
          <c:val>
            <c:numRef>
              <c:f>EVOLUCIÓN!$C$4:$H$4</c:f>
              <c:numCache/>
            </c:numRef>
          </c:val>
          <c:shape val="box"/>
        </c:ser>
        <c:ser>
          <c:idx val="2"/>
          <c:order val="2"/>
          <c:tx>
            <c:strRef>
              <c:f>EVOLUCIÓN!$B$5</c:f>
              <c:strCache>
                <c:ptCount val="1"/>
                <c:pt idx="0">
                  <c:v>Fondo Maniobra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EVOLUCIÓN!$C$2:$H$2</c:f>
              <c:strCache/>
            </c:strRef>
          </c:cat>
          <c:val>
            <c:numRef>
              <c:f>EVOLUCIÓN!$C$5:$H$5</c:f>
              <c:numCache/>
            </c:numRef>
          </c:val>
          <c:shape val="box"/>
        </c:ser>
        <c:overlap val="100"/>
        <c:shape val="box"/>
        <c:axId val="35165521"/>
        <c:axId val="48054234"/>
      </c:bar3D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8054234"/>
        <c:crosses val="autoZero"/>
        <c:auto val="1"/>
        <c:lblOffset val="100"/>
        <c:noMultiLvlLbl val="0"/>
      </c:catAx>
      <c:valAx>
        <c:axId val="4805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</a:defRPr>
            </a:pPr>
          </a:p>
        </c:txPr>
        <c:crossAx val="351655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75"/>
          <c:y val="0.9055"/>
        </c:manualLayout>
      </c:layout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800" b="0" i="1" u="none" baseline="0"/>
          </a:pPr>
        </a:p>
      </c:txPr>
    </c:legend>
    <c:floor>
      <c:spPr>
        <a:solidFill>
          <a:srgbClr val="800000"/>
        </a:solid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85"/>
          <c:w val="0.92075"/>
          <c:h val="0.95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COMPOSICIÓN!$B$3</c:f>
              <c:strCache>
                <c:ptCount val="1"/>
                <c:pt idx="0">
                  <c:v>Disponible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COMPOSICIÓN!$C$2</c:f>
              <c:strCache/>
            </c:strRef>
          </c:cat>
          <c:val>
            <c:numRef>
              <c:f>COMPOSICIÓN!$C$3</c:f>
              <c:numCache/>
            </c:numRef>
          </c:val>
        </c:ser>
        <c:ser>
          <c:idx val="1"/>
          <c:order val="1"/>
          <c:tx>
            <c:strRef>
              <c:f>COMPOSICIÓN!$B$4</c:f>
              <c:strCache>
                <c:ptCount val="1"/>
                <c:pt idx="0">
                  <c:v>Realizable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COMPOSICIÓN!$C$2</c:f>
              <c:strCache/>
            </c:strRef>
          </c:cat>
          <c:val>
            <c:numRef>
              <c:f>COMPOSICIÓN!$C$4</c:f>
              <c:numCache/>
            </c:numRef>
          </c:val>
        </c:ser>
        <c:ser>
          <c:idx val="2"/>
          <c:order val="2"/>
          <c:tx>
            <c:strRef>
              <c:f>COMPOSICIÓN!$B$5</c:f>
              <c:strCache>
                <c:ptCount val="1"/>
                <c:pt idx="0">
                  <c:v>Existencias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COMPOSICIÓN!$C$2</c:f>
              <c:strCache/>
            </c:strRef>
          </c:cat>
          <c:val>
            <c:numRef>
              <c:f>COMPOSICIÓN!$C$5</c:f>
              <c:numCache/>
            </c:numRef>
          </c:val>
        </c:ser>
        <c:ser>
          <c:idx val="3"/>
          <c:order val="3"/>
          <c:tx>
            <c:strRef>
              <c:f>COMPOSICIÓN!$B$6</c:f>
              <c:strCache>
                <c:ptCount val="1"/>
                <c:pt idx="0">
                  <c:v>Inmovilizado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COMPOSICIÓN!$C$2</c:f>
              <c:strCache/>
            </c:strRef>
          </c:cat>
          <c:val>
            <c:numRef>
              <c:f>COMPOSICIÓN!$C$6</c:f>
              <c:numCache/>
            </c:numRef>
          </c:val>
        </c:ser>
        <c:overlap val="100"/>
        <c:axId val="29834923"/>
        <c:axId val="78852"/>
      </c:barChart>
      <c:catAx>
        <c:axId val="29834923"/>
        <c:scaling>
          <c:orientation val="minMax"/>
        </c:scaling>
        <c:axPos val="b"/>
        <c:delete val="1"/>
        <c:majorTickMark val="out"/>
        <c:minorTickMark val="none"/>
        <c:tickLblPos val="nextTo"/>
        <c:crossAx val="78852"/>
        <c:crosses val="autoZero"/>
        <c:auto val="1"/>
        <c:lblOffset val="100"/>
        <c:noMultiLvlLbl val="0"/>
      </c:catAx>
      <c:valAx>
        <c:axId val="78852"/>
        <c:scaling>
          <c:orientation val="minMax"/>
        </c:scaling>
        <c:axPos val="l"/>
        <c:delete val="1"/>
        <c:majorTickMark val="out"/>
        <c:minorTickMark val="none"/>
        <c:tickLblPos val="nextTo"/>
        <c:crossAx val="29834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COMPOSICIÓN!$E$3</c:f>
              <c:strCache>
                <c:ptCount val="1"/>
                <c:pt idx="0">
                  <c:v>Exigible CP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COMPOSICIÓN!$F$2</c:f>
              <c:strCache/>
            </c:strRef>
          </c:cat>
          <c:val>
            <c:numRef>
              <c:f>COMPOSICIÓN!$F$3</c:f>
              <c:numCache/>
            </c:numRef>
          </c:val>
        </c:ser>
        <c:ser>
          <c:idx val="1"/>
          <c:order val="1"/>
          <c:tx>
            <c:strRef>
              <c:f>COMPOSICIÓN!$E$4</c:f>
              <c:strCache>
                <c:ptCount val="1"/>
                <c:pt idx="0">
                  <c:v>Exigible LP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COMPOSICIÓN!$F$2</c:f>
              <c:strCache/>
            </c:strRef>
          </c:cat>
          <c:val>
            <c:numRef>
              <c:f>COMPOSICIÓN!$F$4</c:f>
              <c:numCache/>
            </c:numRef>
          </c:val>
        </c:ser>
        <c:ser>
          <c:idx val="2"/>
          <c:order val="2"/>
          <c:tx>
            <c:strRef>
              <c:f>COMPOSICIÓN!$E$5</c:f>
              <c:strCache>
                <c:ptCount val="1"/>
                <c:pt idx="0">
                  <c:v>Neto Patrimonial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COMPOSICIÓN!$F$2</c:f>
              <c:strCache/>
            </c:strRef>
          </c:cat>
          <c:val>
            <c:numRef>
              <c:f>COMPOSICIÓN!$F$5</c:f>
              <c:numCache/>
            </c:numRef>
          </c:val>
        </c:ser>
        <c:overlap val="100"/>
        <c:axId val="709669"/>
        <c:axId val="6387022"/>
      </c:barChart>
      <c:catAx>
        <c:axId val="709669"/>
        <c:scaling>
          <c:orientation val="minMax"/>
        </c:scaling>
        <c:axPos val="b"/>
        <c:delete val="1"/>
        <c:majorTickMark val="out"/>
        <c:minorTickMark val="none"/>
        <c:tickLblPos val="nextTo"/>
        <c:crossAx val="6387022"/>
        <c:crosses val="autoZero"/>
        <c:auto val="1"/>
        <c:lblOffset val="100"/>
        <c:noMultiLvlLbl val="0"/>
      </c:catAx>
      <c:valAx>
        <c:axId val="6387022"/>
        <c:scaling>
          <c:orientation val="minMax"/>
        </c:scaling>
        <c:axPos val="l"/>
        <c:delete val="1"/>
        <c:majorTickMark val="out"/>
        <c:minorTickMark val="none"/>
        <c:tickLblPos val="nextTo"/>
        <c:crossAx val="709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19050</xdr:rowOff>
    </xdr:from>
    <xdr:to>
      <xdr:col>5</xdr:col>
      <xdr:colOff>381000</xdr:colOff>
      <xdr:row>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00100" y="466725"/>
          <a:ext cx="26289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Balance de Situación de "ABETO, S.A."</a:t>
          </a:r>
        </a:p>
      </xdr:txBody>
    </xdr:sp>
    <xdr:clientData/>
  </xdr:twoCellAnchor>
  <xdr:twoCellAnchor>
    <xdr:from>
      <xdr:col>1</xdr:col>
      <xdr:colOff>1019175</xdr:colOff>
      <xdr:row>18</xdr:row>
      <xdr:rowOff>104775</xdr:rowOff>
    </xdr:from>
    <xdr:to>
      <xdr:col>3</xdr:col>
      <xdr:colOff>38100</xdr:colOff>
      <xdr:row>20</xdr:row>
      <xdr:rowOff>57150</xdr:rowOff>
    </xdr:to>
    <xdr:sp>
      <xdr:nvSpPr>
        <xdr:cNvPr id="2" name="Oval 3"/>
        <xdr:cNvSpPr>
          <a:spLocks/>
        </xdr:cNvSpPr>
      </xdr:nvSpPr>
      <xdr:spPr>
        <a:xfrm>
          <a:off x="1438275" y="2771775"/>
          <a:ext cx="5810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20</xdr:row>
      <xdr:rowOff>57150</xdr:rowOff>
    </xdr:from>
    <xdr:to>
      <xdr:col>3</xdr:col>
      <xdr:colOff>9525</xdr:colOff>
      <xdr:row>21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1733550" y="3009900"/>
          <a:ext cx="257175" cy="1428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95250</xdr:rowOff>
    </xdr:from>
    <xdr:to>
      <xdr:col>5</xdr:col>
      <xdr:colOff>419100</xdr:colOff>
      <xdr:row>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847725" y="381000"/>
          <a:ext cx="313372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Cuenta de Resultados de "ABETO, S.A."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</xdr:row>
      <xdr:rowOff>19050</xdr:rowOff>
    </xdr:from>
    <xdr:ext cx="3295650" cy="190500"/>
    <xdr:sp>
      <xdr:nvSpPr>
        <xdr:cNvPr id="1" name="Rectangle 1"/>
        <xdr:cNvSpPr>
          <a:spLocks/>
        </xdr:cNvSpPr>
      </xdr:nvSpPr>
      <xdr:spPr>
        <a:xfrm>
          <a:off x="800100" y="161925"/>
          <a:ext cx="32956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Análisis de la situación de la empresa "ABETO, S.A."</a:t>
          </a:r>
        </a:p>
      </xdr:txBody>
    </xdr:sp>
    <xdr:clientData/>
  </xdr:oneCellAnchor>
  <xdr:twoCellAnchor>
    <xdr:from>
      <xdr:col>1</xdr:col>
      <xdr:colOff>1019175</xdr:colOff>
      <xdr:row>16</xdr:row>
      <xdr:rowOff>0</xdr:rowOff>
    </xdr:from>
    <xdr:to>
      <xdr:col>3</xdr:col>
      <xdr:colOff>38100</xdr:colOff>
      <xdr:row>16</xdr:row>
      <xdr:rowOff>0</xdr:rowOff>
    </xdr:to>
    <xdr:sp>
      <xdr:nvSpPr>
        <xdr:cNvPr id="2" name="Oval 2"/>
        <xdr:cNvSpPr>
          <a:spLocks/>
        </xdr:cNvSpPr>
      </xdr:nvSpPr>
      <xdr:spPr>
        <a:xfrm>
          <a:off x="1438275" y="2314575"/>
          <a:ext cx="104775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95250</xdr:rowOff>
    </xdr:from>
    <xdr:to>
      <xdr:col>2</xdr:col>
      <xdr:colOff>485775</xdr:colOff>
      <xdr:row>7</xdr:row>
      <xdr:rowOff>38100</xdr:rowOff>
    </xdr:to>
    <xdr:sp>
      <xdr:nvSpPr>
        <xdr:cNvPr id="3" name="Oval 4"/>
        <xdr:cNvSpPr>
          <a:spLocks/>
        </xdr:cNvSpPr>
      </xdr:nvSpPr>
      <xdr:spPr>
        <a:xfrm>
          <a:off x="1952625" y="561975"/>
          <a:ext cx="447675" cy="247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9525</xdr:rowOff>
    </xdr:from>
    <xdr:to>
      <xdr:col>3</xdr:col>
      <xdr:colOff>476250</xdr:colOff>
      <xdr:row>8</xdr:row>
      <xdr:rowOff>28575</xdr:rowOff>
    </xdr:to>
    <xdr:sp>
      <xdr:nvSpPr>
        <xdr:cNvPr id="4" name="Oval 5"/>
        <xdr:cNvSpPr>
          <a:spLocks/>
        </xdr:cNvSpPr>
      </xdr:nvSpPr>
      <xdr:spPr>
        <a:xfrm>
          <a:off x="2476500" y="781050"/>
          <a:ext cx="447675" cy="180975"/>
        </a:xfrm>
        <a:prstGeom prst="ellips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0</xdr:rowOff>
    </xdr:from>
    <xdr:to>
      <xdr:col>4</xdr:col>
      <xdr:colOff>495300</xdr:colOff>
      <xdr:row>9</xdr:row>
      <xdr:rowOff>19050</xdr:rowOff>
    </xdr:to>
    <xdr:sp>
      <xdr:nvSpPr>
        <xdr:cNvPr id="5" name="Oval 6"/>
        <xdr:cNvSpPr>
          <a:spLocks/>
        </xdr:cNvSpPr>
      </xdr:nvSpPr>
      <xdr:spPr>
        <a:xfrm>
          <a:off x="3028950" y="933450"/>
          <a:ext cx="447675" cy="1809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152400</xdr:rowOff>
    </xdr:from>
    <xdr:to>
      <xdr:col>7</xdr:col>
      <xdr:colOff>333375</xdr:colOff>
      <xdr:row>12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1943100" y="1409700"/>
          <a:ext cx="2971800" cy="2095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47625</xdr:rowOff>
    </xdr:from>
    <xdr:to>
      <xdr:col>2</xdr:col>
      <xdr:colOff>104775</xdr:colOff>
      <xdr:row>11</xdr:row>
      <xdr:rowOff>95250</xdr:rowOff>
    </xdr:to>
    <xdr:sp>
      <xdr:nvSpPr>
        <xdr:cNvPr id="7" name="AutoShape 9"/>
        <xdr:cNvSpPr>
          <a:spLocks/>
        </xdr:cNvSpPr>
      </xdr:nvSpPr>
      <xdr:spPr>
        <a:xfrm flipH="1">
          <a:off x="1933575" y="819150"/>
          <a:ext cx="85725" cy="695325"/>
        </a:xfrm>
        <a:prstGeom prst="straightConnector1">
          <a:avLst/>
        </a:prstGeom>
        <a:noFill/>
        <a:ln w="31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342900</xdr:colOff>
      <xdr:row>14</xdr:row>
      <xdr:rowOff>19050</xdr:rowOff>
    </xdr:to>
    <xdr:sp>
      <xdr:nvSpPr>
        <xdr:cNvPr id="8" name="Rectangle 10"/>
        <xdr:cNvSpPr>
          <a:spLocks/>
        </xdr:cNvSpPr>
      </xdr:nvSpPr>
      <xdr:spPr>
        <a:xfrm>
          <a:off x="2457450" y="1771650"/>
          <a:ext cx="1400175" cy="209550"/>
        </a:xfrm>
        <a:prstGeom prst="rect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9525</xdr:rowOff>
    </xdr:from>
    <xdr:to>
      <xdr:col>10</xdr:col>
      <xdr:colOff>161925</xdr:colOff>
      <xdr:row>16</xdr:row>
      <xdr:rowOff>19050</xdr:rowOff>
    </xdr:to>
    <xdr:sp>
      <xdr:nvSpPr>
        <xdr:cNvPr id="9" name="Rectangle 12"/>
        <xdr:cNvSpPr>
          <a:spLocks/>
        </xdr:cNvSpPr>
      </xdr:nvSpPr>
      <xdr:spPr>
        <a:xfrm>
          <a:off x="1943100" y="2133600"/>
          <a:ext cx="3819525" cy="200025"/>
        </a:xfrm>
        <a:prstGeom prst="rect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8</xdr:row>
      <xdr:rowOff>38100</xdr:rowOff>
    </xdr:from>
    <xdr:to>
      <xdr:col>4</xdr:col>
      <xdr:colOff>180975</xdr:colOff>
      <xdr:row>12</xdr:row>
      <xdr:rowOff>152400</xdr:rowOff>
    </xdr:to>
    <xdr:sp>
      <xdr:nvSpPr>
        <xdr:cNvPr id="10" name="AutoShape 13"/>
        <xdr:cNvSpPr>
          <a:spLocks/>
        </xdr:cNvSpPr>
      </xdr:nvSpPr>
      <xdr:spPr>
        <a:xfrm>
          <a:off x="2705100" y="971550"/>
          <a:ext cx="457200" cy="790575"/>
        </a:xfrm>
        <a:prstGeom prst="straightConnector1">
          <a:avLst/>
        </a:prstGeom>
        <a:noFill/>
        <a:ln w="31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9</xdr:row>
      <xdr:rowOff>28575</xdr:rowOff>
    </xdr:from>
    <xdr:to>
      <xdr:col>5</xdr:col>
      <xdr:colOff>342900</xdr:colOff>
      <xdr:row>15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3257550" y="1123950"/>
          <a:ext cx="600075" cy="1000125"/>
        </a:xfrm>
        <a:prstGeom prst="straightConnector1">
          <a:avLst/>
        </a:prstGeom>
        <a:noFill/>
        <a:ln w="317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7</xdr:row>
      <xdr:rowOff>38100</xdr:rowOff>
    </xdr:from>
    <xdr:to>
      <xdr:col>9</xdr:col>
      <xdr:colOff>28575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647700" y="1076325"/>
        <a:ext cx="43815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657225</xdr:colOff>
      <xdr:row>6</xdr:row>
      <xdr:rowOff>0</xdr:rowOff>
    </xdr:from>
    <xdr:to>
      <xdr:col>6</xdr:col>
      <xdr:colOff>95250</xdr:colOff>
      <xdr:row>7</xdr:row>
      <xdr:rowOff>28575</xdr:rowOff>
    </xdr:to>
    <xdr:sp>
      <xdr:nvSpPr>
        <xdr:cNvPr id="2" name="AutoShape 5"/>
        <xdr:cNvSpPr>
          <a:spLocks/>
        </xdr:cNvSpPr>
      </xdr:nvSpPr>
      <xdr:spPr>
        <a:xfrm>
          <a:off x="1076325" y="895350"/>
          <a:ext cx="27241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Verdana"/>
              <a:cs typeface="Verdana"/>
            </a:rPr>
            <a:t>Evolución del Fondo de Maniobra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0.058</cdr:y>
    </cdr:from>
    <cdr:to>
      <cdr:x>0.59475</cdr:x>
      <cdr:y>0.15025</cdr:y>
    </cdr:to>
    <cdr:sp textlink="COMPOSICIÓN!$C$6">
      <cdr:nvSpPr>
        <cdr:cNvPr id="1" name="TextBox 1"/>
        <cdr:cNvSpPr txBox="1">
          <a:spLocks noChangeArrowheads="1"/>
        </cdr:cNvSpPr>
      </cdr:nvSpPr>
      <cdr:spPr>
        <a:xfrm>
          <a:off x="495300" y="114300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6563d54-76ca-4559-9e55-4d69d9312c22}" type="TxLink">
            <a:rPr lang="en-US" cap="none" sz="800" b="1" i="0" u="none" baseline="0">
              <a:latin typeface="Arial"/>
              <a:ea typeface="Arial"/>
              <a:cs typeface="Arial"/>
            </a:rPr>
            <a:t>250</a:t>
          </a:fld>
        </a:p>
      </cdr:txBody>
    </cdr:sp>
  </cdr:relSizeAnchor>
  <cdr:relSizeAnchor xmlns:cdr="http://schemas.openxmlformats.org/drawingml/2006/chartDrawing">
    <cdr:from>
      <cdr:x>0.3885</cdr:x>
      <cdr:y>0.5005</cdr:y>
    </cdr:from>
    <cdr:to>
      <cdr:x>0.59475</cdr:x>
      <cdr:y>0.59175</cdr:y>
    </cdr:to>
    <cdr:sp textlink="COMPOSICIÓN!$C$5">
      <cdr:nvSpPr>
        <cdr:cNvPr id="2" name="TextBox 2"/>
        <cdr:cNvSpPr txBox="1">
          <a:spLocks noChangeArrowheads="1"/>
        </cdr:cNvSpPr>
      </cdr:nvSpPr>
      <cdr:spPr>
        <a:xfrm>
          <a:off x="495300" y="1019175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61edae9-4692-43c2-927d-b79f175dd42b}" type="TxLink">
            <a:rPr lang="en-US" cap="none" sz="800" b="1" i="0" u="none" baseline="0">
              <a:latin typeface="Arial"/>
              <a:ea typeface="Arial"/>
              <a:cs typeface="Arial"/>
            </a:rPr>
            <a:t>175</a:t>
          </a:fld>
        </a:p>
      </cdr:txBody>
    </cdr:sp>
  </cdr:relSizeAnchor>
  <cdr:relSizeAnchor xmlns:cdr="http://schemas.openxmlformats.org/drawingml/2006/chartDrawing">
    <cdr:from>
      <cdr:x>0.3885</cdr:x>
      <cdr:y>0.845</cdr:y>
    </cdr:from>
    <cdr:to>
      <cdr:x>0.548</cdr:x>
      <cdr:y>0.93725</cdr:y>
    </cdr:to>
    <cdr:sp textlink="COMPOSICIÓN!$C$4">
      <cdr:nvSpPr>
        <cdr:cNvPr id="3" name="TextBox 3"/>
        <cdr:cNvSpPr txBox="1">
          <a:spLocks noChangeArrowheads="1"/>
        </cdr:cNvSpPr>
      </cdr:nvSpPr>
      <cdr:spPr>
        <a:xfrm>
          <a:off x="495300" y="1724025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a8f3bd7-18f5-48da-bd2c-dec8055066a4}" type="TxLink">
            <a:rPr lang="en-US" cap="none" sz="800" b="1" i="0" u="none" baseline="0">
              <a:latin typeface="Arial"/>
              <a:ea typeface="Arial"/>
              <a:cs typeface="Arial"/>
            </a:rPr>
            <a:t>70</a:t>
          </a:fld>
        </a:p>
      </cdr:txBody>
    </cdr:sp>
  </cdr:relSizeAnchor>
  <cdr:relSizeAnchor xmlns:cdr="http://schemas.openxmlformats.org/drawingml/2006/chartDrawing">
    <cdr:from>
      <cdr:x>0.3885</cdr:x>
      <cdr:y>0.20825</cdr:y>
    </cdr:from>
    <cdr:to>
      <cdr:x>0.699</cdr:x>
      <cdr:y>0.33975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95300" y="419100"/>
          <a:ext cx="400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003300"/>
              </a:solidFill>
              <a:latin typeface="Arial"/>
              <a:ea typeface="Arial"/>
              <a:cs typeface="Arial"/>
            </a:rPr>
            <a:t>A.F.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0.0375</cdr:y>
    </cdr:from>
    <cdr:to>
      <cdr:x>0.555</cdr:x>
      <cdr:y>0.1265</cdr:y>
    </cdr:to>
    <cdr:sp textlink="COMPOSICIÓN!$F$5">
      <cdr:nvSpPr>
        <cdr:cNvPr id="1" name="TextBox 1"/>
        <cdr:cNvSpPr txBox="1">
          <a:spLocks noChangeArrowheads="1"/>
        </cdr:cNvSpPr>
      </cdr:nvSpPr>
      <cdr:spPr>
        <a:xfrm>
          <a:off x="457200" y="76200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83a0ecf-a43b-4781-a040-f42c3dca5913}" type="TxLink"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485</a:t>
          </a:fld>
        </a:p>
      </cdr:txBody>
    </cdr:sp>
  </cdr:relSizeAnchor>
  <cdr:relSizeAnchor xmlns:cdr="http://schemas.openxmlformats.org/drawingml/2006/chartDrawing">
    <cdr:from>
      <cdr:x>0.35175</cdr:x>
      <cdr:y>0.3875</cdr:y>
    </cdr:from>
    <cdr:to>
      <cdr:x>0.65625</cdr:x>
      <cdr:y>0.5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819150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003300"/>
              </a:solidFill>
              <a:latin typeface="Arial"/>
              <a:ea typeface="Arial"/>
              <a:cs typeface="Arial"/>
            </a:rPr>
            <a:t>P.F.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28575</xdr:rowOff>
    </xdr:from>
    <xdr:to>
      <xdr:col>4</xdr:col>
      <xdr:colOff>666750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1971675" y="885825"/>
        <a:ext cx="12858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6</xdr:row>
      <xdr:rowOff>57150</xdr:rowOff>
    </xdr:from>
    <xdr:to>
      <xdr:col>5</xdr:col>
      <xdr:colOff>257175</xdr:colOff>
      <xdr:row>21</xdr:row>
      <xdr:rowOff>38100</xdr:rowOff>
    </xdr:to>
    <xdr:graphicFrame>
      <xdr:nvGraphicFramePr>
        <xdr:cNvPr id="2" name="Chart 3"/>
        <xdr:cNvGraphicFramePr/>
      </xdr:nvGraphicFramePr>
      <xdr:xfrm>
        <a:off x="2876550" y="914400"/>
        <a:ext cx="13049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600075</xdr:colOff>
      <xdr:row>6</xdr:row>
      <xdr:rowOff>95250</xdr:rowOff>
    </xdr:from>
    <xdr:to>
      <xdr:col>4</xdr:col>
      <xdr:colOff>1247775</xdr:colOff>
      <xdr:row>21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2352675" y="952500"/>
          <a:ext cx="1485900" cy="206692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95250</xdr:rowOff>
    </xdr:from>
    <xdr:to>
      <xdr:col>2</xdr:col>
      <xdr:colOff>400050</xdr:colOff>
      <xdr:row>14</xdr:row>
      <xdr:rowOff>19050</xdr:rowOff>
    </xdr:to>
    <xdr:sp>
      <xdr:nvSpPr>
        <xdr:cNvPr id="4" name="AutoShape 5"/>
        <xdr:cNvSpPr>
          <a:spLocks/>
        </xdr:cNvSpPr>
      </xdr:nvSpPr>
      <xdr:spPr>
        <a:xfrm>
          <a:off x="409575" y="1666875"/>
          <a:ext cx="17430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ahoma"/>
              <a:cs typeface="Tahoma"/>
            </a:rPr>
            <a:t>Composición del Balance
Año 1994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22</xdr:row>
      <xdr:rowOff>104775</xdr:rowOff>
    </xdr:from>
    <xdr:to>
      <xdr:col>7</xdr:col>
      <xdr:colOff>0</xdr:colOff>
      <xdr:row>22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52950" y="2990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24</xdr:row>
      <xdr:rowOff>104775</xdr:rowOff>
    </xdr:from>
    <xdr:to>
      <xdr:col>8</xdr:col>
      <xdr:colOff>628650</xdr:colOff>
      <xdr:row>24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848350" y="3314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26</xdr:row>
      <xdr:rowOff>104775</xdr:rowOff>
    </xdr:from>
    <xdr:to>
      <xdr:col>4</xdr:col>
      <xdr:colOff>457200</xdr:colOff>
      <xdr:row>26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009900" y="3638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28</xdr:row>
      <xdr:rowOff>123825</xdr:rowOff>
    </xdr:from>
    <xdr:to>
      <xdr:col>5</xdr:col>
      <xdr:colOff>47625</xdr:colOff>
      <xdr:row>28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267075" y="39814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30</xdr:row>
      <xdr:rowOff>104775</xdr:rowOff>
    </xdr:from>
    <xdr:to>
      <xdr:col>9</xdr:col>
      <xdr:colOff>190500</xdr:colOff>
      <xdr:row>30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6191250" y="4286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uadrodemando.unizar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K7" sqref="K7"/>
    </sheetView>
  </sheetViews>
  <sheetFormatPr defaultColWidth="11.421875" defaultRowHeight="12.75"/>
  <cols>
    <col min="1" max="1" width="6.28125" style="1" customWidth="1"/>
    <col min="2" max="2" width="15.421875" style="1" bestFit="1" customWidth="1"/>
    <col min="3" max="8" width="8.00390625" style="1" bestFit="1" customWidth="1"/>
    <col min="9" max="9" width="3.421875" style="1" customWidth="1"/>
    <col min="10" max="10" width="3.8515625" style="1" customWidth="1"/>
    <col min="11" max="16384" width="11.421875" style="1" customWidth="1"/>
  </cols>
  <sheetData>
    <row r="1" spans="1:12" s="97" customFormat="1" ht="12.75">
      <c r="A1" s="98"/>
      <c r="B1" s="93" t="s">
        <v>47</v>
      </c>
      <c r="C1" s="94"/>
      <c r="D1" s="94"/>
      <c r="E1" s="94"/>
      <c r="F1" s="95"/>
      <c r="G1" s="95"/>
      <c r="H1" s="96" t="s">
        <v>48</v>
      </c>
      <c r="I1" s="95"/>
      <c r="J1" s="95"/>
      <c r="K1" s="95"/>
      <c r="L1" s="94"/>
    </row>
    <row r="2" spans="1:12" s="97" customFormat="1" ht="11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ht="11.25">
      <c r="L3" s="202"/>
    </row>
    <row r="4" ht="11.25">
      <c r="L4" s="202"/>
    </row>
    <row r="5" ht="11.25">
      <c r="L5" s="202"/>
    </row>
    <row r="6" spans="3:12" ht="11.25"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  <c r="L6" s="202"/>
    </row>
    <row r="7" spans="2:12" ht="11.25">
      <c r="B7" s="5" t="s">
        <v>0</v>
      </c>
      <c r="C7" s="81">
        <v>250</v>
      </c>
      <c r="D7" s="82">
        <v>350</v>
      </c>
      <c r="E7" s="82">
        <v>450</v>
      </c>
      <c r="F7" s="82">
        <v>550</v>
      </c>
      <c r="G7" s="82">
        <v>650</v>
      </c>
      <c r="H7" s="83">
        <v>215</v>
      </c>
      <c r="L7" s="202"/>
    </row>
    <row r="8" spans="2:12" ht="11.25">
      <c r="B8" s="6" t="s">
        <v>1</v>
      </c>
      <c r="C8" s="84">
        <v>175</v>
      </c>
      <c r="D8" s="85">
        <v>225</v>
      </c>
      <c r="E8" s="85">
        <v>285</v>
      </c>
      <c r="F8" s="85">
        <v>295</v>
      </c>
      <c r="G8" s="85">
        <v>200</v>
      </c>
      <c r="H8" s="86">
        <v>95</v>
      </c>
      <c r="L8" s="202"/>
    </row>
    <row r="9" spans="2:12" ht="11.25">
      <c r="B9" s="6" t="s">
        <v>2</v>
      </c>
      <c r="C9" s="84">
        <v>70</v>
      </c>
      <c r="D9" s="85">
        <v>80</v>
      </c>
      <c r="E9" s="85">
        <v>90</v>
      </c>
      <c r="F9" s="85">
        <v>115</v>
      </c>
      <c r="G9" s="85">
        <v>95</v>
      </c>
      <c r="H9" s="86">
        <v>80</v>
      </c>
      <c r="L9" s="202"/>
    </row>
    <row r="10" spans="2:12" ht="12" thickBot="1">
      <c r="B10" s="7" t="s">
        <v>3</v>
      </c>
      <c r="C10" s="87">
        <v>25</v>
      </c>
      <c r="D10" s="88">
        <v>15</v>
      </c>
      <c r="E10" s="88">
        <v>25</v>
      </c>
      <c r="F10" s="88">
        <v>40</v>
      </c>
      <c r="G10" s="88">
        <v>15</v>
      </c>
      <c r="H10" s="89">
        <v>5</v>
      </c>
      <c r="L10" s="202"/>
    </row>
    <row r="11" spans="2:12" ht="13.5" thickBot="1">
      <c r="B11" s="33" t="s">
        <v>20</v>
      </c>
      <c r="C11" s="34">
        <f aca="true" t="shared" si="0" ref="C11:H11">SUM(C7:C10)</f>
        <v>520</v>
      </c>
      <c r="D11" s="35">
        <f t="shared" si="0"/>
        <v>670</v>
      </c>
      <c r="E11" s="35">
        <f t="shared" si="0"/>
        <v>850</v>
      </c>
      <c r="F11" s="35">
        <f t="shared" si="0"/>
        <v>1000</v>
      </c>
      <c r="G11" s="35">
        <f t="shared" si="0"/>
        <v>960</v>
      </c>
      <c r="H11" s="36">
        <f t="shared" si="0"/>
        <v>395</v>
      </c>
      <c r="L11" s="202"/>
    </row>
    <row r="12" ht="11.25">
      <c r="L12" s="202"/>
    </row>
    <row r="13" spans="3:12" ht="11.25">
      <c r="C13" s="2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4" t="s">
        <v>9</v>
      </c>
      <c r="L13" s="202"/>
    </row>
    <row r="14" spans="2:12" ht="11.25">
      <c r="B14" s="5" t="s">
        <v>12</v>
      </c>
      <c r="C14" s="16">
        <f aca="true" t="shared" si="1" ref="C14:H14">C11-C15-C16-C17</f>
        <v>448.01500000000004</v>
      </c>
      <c r="D14" s="17">
        <f t="shared" si="1"/>
        <v>519.8562</v>
      </c>
      <c r="E14" s="17">
        <f t="shared" si="1"/>
        <v>596.2860000000001</v>
      </c>
      <c r="F14" s="17">
        <f t="shared" si="1"/>
        <v>536.844</v>
      </c>
      <c r="G14" s="17">
        <f t="shared" si="1"/>
        <v>486.178</v>
      </c>
      <c r="H14" s="18">
        <f t="shared" si="1"/>
        <v>15.060000000000002</v>
      </c>
      <c r="L14" s="202"/>
    </row>
    <row r="15" spans="2:12" ht="11.25">
      <c r="B15" s="6" t="s">
        <v>19</v>
      </c>
      <c r="C15" s="19">
        <f>'CR'!C18</f>
        <v>36.98499999999998</v>
      </c>
      <c r="D15" s="20">
        <f>'CR'!D18</f>
        <v>45.14380000000004</v>
      </c>
      <c r="E15" s="20">
        <f>'CR'!E18</f>
        <v>38.713999999999956</v>
      </c>
      <c r="F15" s="20">
        <f>'CR'!F18</f>
        <v>13.155999999999974</v>
      </c>
      <c r="G15" s="20">
        <f>'CR'!G18</f>
        <v>-16.17799999999999</v>
      </c>
      <c r="H15" s="21">
        <f>'CR'!H18</f>
        <v>-100.06</v>
      </c>
      <c r="L15" s="202"/>
    </row>
    <row r="16" spans="2:12" ht="11.25">
      <c r="B16" s="6" t="s">
        <v>11</v>
      </c>
      <c r="C16" s="84">
        <v>10</v>
      </c>
      <c r="D16" s="85">
        <v>20</v>
      </c>
      <c r="E16" s="85">
        <v>65</v>
      </c>
      <c r="F16" s="85">
        <v>125</v>
      </c>
      <c r="G16" s="85">
        <v>190</v>
      </c>
      <c r="H16" s="86">
        <v>175</v>
      </c>
      <c r="L16" s="202"/>
    </row>
    <row r="17" spans="2:12" ht="12" thickBot="1">
      <c r="B17" s="7" t="s">
        <v>10</v>
      </c>
      <c r="C17" s="87">
        <v>25</v>
      </c>
      <c r="D17" s="88">
        <v>85</v>
      </c>
      <c r="E17" s="88">
        <v>150</v>
      </c>
      <c r="F17" s="88">
        <v>325</v>
      </c>
      <c r="G17" s="88">
        <v>300</v>
      </c>
      <c r="H17" s="89">
        <v>305</v>
      </c>
      <c r="L17" s="202"/>
    </row>
    <row r="18" spans="2:12" ht="13.5" thickBot="1">
      <c r="B18" s="33" t="s">
        <v>21</v>
      </c>
      <c r="C18" s="34">
        <f aca="true" t="shared" si="2" ref="C18:H18">SUM(C14:C17)</f>
        <v>520</v>
      </c>
      <c r="D18" s="35">
        <f t="shared" si="2"/>
        <v>670</v>
      </c>
      <c r="E18" s="35">
        <f t="shared" si="2"/>
        <v>850</v>
      </c>
      <c r="F18" s="35">
        <f t="shared" si="2"/>
        <v>1000</v>
      </c>
      <c r="G18" s="35">
        <f t="shared" si="2"/>
        <v>960</v>
      </c>
      <c r="H18" s="36">
        <f t="shared" si="2"/>
        <v>395</v>
      </c>
      <c r="L18" s="202"/>
    </row>
    <row r="19" ht="11.25">
      <c r="L19" s="202"/>
    </row>
    <row r="20" spans="3:12" ht="11.25">
      <c r="C20" s="1" t="str">
        <f aca="true" t="shared" si="3" ref="C20:H20">IF(C11=C18,"cuadra","no cuadra")</f>
        <v>cuadra</v>
      </c>
      <c r="D20" s="1" t="str">
        <f t="shared" si="3"/>
        <v>cuadra</v>
      </c>
      <c r="E20" s="1" t="str">
        <f t="shared" si="3"/>
        <v>cuadra</v>
      </c>
      <c r="F20" s="1" t="str">
        <f t="shared" si="3"/>
        <v>cuadra</v>
      </c>
      <c r="G20" s="1" t="str">
        <f t="shared" si="3"/>
        <v>cuadra</v>
      </c>
      <c r="H20" s="1" t="str">
        <f t="shared" si="3"/>
        <v>cuadra</v>
      </c>
      <c r="L20" s="202"/>
    </row>
    <row r="21" ht="11.25">
      <c r="L21" s="202"/>
    </row>
    <row r="22" spans="4:12" ht="12.75">
      <c r="D22" s="37" t="s">
        <v>22</v>
      </c>
      <c r="L22" s="202"/>
    </row>
    <row r="23" ht="11.25">
      <c r="L23" s="202"/>
    </row>
    <row r="24" spans="1:12" ht="11.2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</row>
  </sheetData>
  <sheetProtection password="C7E4" sheet="1" objects="1" scenarios="1"/>
  <hyperlinks>
    <hyperlink ref="H1" r:id="rId1" display="http://cuadrodemando.unizar.es"/>
  </hyperlinks>
  <printOptions/>
  <pageMargins left="0.75" right="0.75" top="1" bottom="1" header="0" footer="0"/>
  <pageSetup horizontalDpi="720" verticalDpi="72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7.140625" style="1" customWidth="1"/>
    <col min="2" max="2" width="22.28125" style="1" bestFit="1" customWidth="1"/>
    <col min="3" max="7" width="8.00390625" style="1" customWidth="1"/>
    <col min="8" max="8" width="9.00390625" style="1" bestFit="1" customWidth="1"/>
    <col min="9" max="9" width="2.7109375" style="1" customWidth="1"/>
    <col min="10" max="10" width="2.28125" style="1" customWidth="1"/>
    <col min="11" max="16384" width="11.421875" style="1" customWidth="1"/>
  </cols>
  <sheetData>
    <row r="1" spans="1:10" ht="11.25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ht="11.25">
      <c r="J2" s="202"/>
    </row>
    <row r="3" ht="11.25">
      <c r="J3" s="202"/>
    </row>
    <row r="4" ht="11.25">
      <c r="J4" s="202"/>
    </row>
    <row r="5" ht="11.25">
      <c r="J5" s="202"/>
    </row>
    <row r="6" spans="3:10" ht="11.25"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  <c r="J6" s="202"/>
    </row>
    <row r="7" spans="2:10" ht="11.25">
      <c r="B7" s="5" t="s">
        <v>13</v>
      </c>
      <c r="C7" s="81">
        <v>335</v>
      </c>
      <c r="D7" s="82">
        <v>535</v>
      </c>
      <c r="E7" s="82">
        <v>615</v>
      </c>
      <c r="F7" s="82">
        <v>395</v>
      </c>
      <c r="G7" s="82">
        <v>264</v>
      </c>
      <c r="H7" s="83">
        <v>20</v>
      </c>
      <c r="J7" s="202"/>
    </row>
    <row r="8" spans="2:10" ht="11.25">
      <c r="B8" s="10">
        <v>0.42</v>
      </c>
      <c r="C8" s="19">
        <f aca="true" t="shared" si="0" ref="C8:H8">compra*C7</f>
        <v>140.7</v>
      </c>
      <c r="D8" s="20">
        <f t="shared" si="0"/>
        <v>224.7</v>
      </c>
      <c r="E8" s="20">
        <f t="shared" si="0"/>
        <v>258.3</v>
      </c>
      <c r="F8" s="20">
        <f t="shared" si="0"/>
        <v>165.9</v>
      </c>
      <c r="G8" s="20">
        <f t="shared" si="0"/>
        <v>110.88</v>
      </c>
      <c r="H8" s="21">
        <f t="shared" si="0"/>
        <v>8.4</v>
      </c>
      <c r="J8" s="202"/>
    </row>
    <row r="9" spans="2:10" ht="11.25">
      <c r="B9" s="11">
        <v>0.11</v>
      </c>
      <c r="C9" s="19">
        <f aca="true" t="shared" si="1" ref="C9:H9">transporte*C7</f>
        <v>36.85</v>
      </c>
      <c r="D9" s="20">
        <f t="shared" si="1"/>
        <v>58.85</v>
      </c>
      <c r="E9" s="20">
        <f t="shared" si="1"/>
        <v>67.65</v>
      </c>
      <c r="F9" s="20">
        <f t="shared" si="1"/>
        <v>43.45</v>
      </c>
      <c r="G9" s="20">
        <f t="shared" si="1"/>
        <v>29.04</v>
      </c>
      <c r="H9" s="21">
        <f t="shared" si="1"/>
        <v>2.2</v>
      </c>
      <c r="J9" s="202"/>
    </row>
    <row r="10" spans="2:10" ht="11.25">
      <c r="B10" s="12">
        <v>0.04</v>
      </c>
      <c r="C10" s="19">
        <f aca="true" t="shared" si="2" ref="C10:H10">suministro*C7</f>
        <v>13.4</v>
      </c>
      <c r="D10" s="20">
        <f t="shared" si="2"/>
        <v>21.400000000000002</v>
      </c>
      <c r="E10" s="20">
        <f t="shared" si="2"/>
        <v>24.6</v>
      </c>
      <c r="F10" s="20">
        <f t="shared" si="2"/>
        <v>15.8</v>
      </c>
      <c r="G10" s="20">
        <f t="shared" si="2"/>
        <v>10.56</v>
      </c>
      <c r="H10" s="21">
        <f t="shared" si="2"/>
        <v>0.8</v>
      </c>
      <c r="J10" s="202"/>
    </row>
    <row r="11" spans="2:10" ht="11.25">
      <c r="B11" s="13">
        <v>0.26</v>
      </c>
      <c r="C11" s="19">
        <f aca="true" t="shared" si="3" ref="C11:H11">personal*C7</f>
        <v>87.10000000000001</v>
      </c>
      <c r="D11" s="20">
        <f t="shared" si="3"/>
        <v>139.1</v>
      </c>
      <c r="E11" s="20">
        <f t="shared" si="3"/>
        <v>159.9</v>
      </c>
      <c r="F11" s="20">
        <f t="shared" si="3"/>
        <v>102.7</v>
      </c>
      <c r="G11" s="20">
        <f t="shared" si="3"/>
        <v>68.64</v>
      </c>
      <c r="H11" s="21">
        <f t="shared" si="3"/>
        <v>5.2</v>
      </c>
      <c r="J11" s="202"/>
    </row>
    <row r="12" spans="2:10" ht="12" thickBot="1">
      <c r="B12" s="14">
        <v>0.002</v>
      </c>
      <c r="C12" s="22">
        <f aca="true" t="shared" si="4" ref="C12:H12">descuento*C7</f>
        <v>0.67</v>
      </c>
      <c r="D12" s="23">
        <f t="shared" si="4"/>
        <v>1.07</v>
      </c>
      <c r="E12" s="23">
        <f t="shared" si="4"/>
        <v>1.23</v>
      </c>
      <c r="F12" s="23">
        <f t="shared" si="4"/>
        <v>0.79</v>
      </c>
      <c r="G12" s="23">
        <f t="shared" si="4"/>
        <v>0.528</v>
      </c>
      <c r="H12" s="24">
        <f t="shared" si="4"/>
        <v>0.04</v>
      </c>
      <c r="J12" s="202"/>
    </row>
    <row r="13" spans="2:10" ht="13.5" thickBot="1">
      <c r="B13" s="9" t="s">
        <v>14</v>
      </c>
      <c r="C13" s="26">
        <f aca="true" t="shared" si="5" ref="C13:H13">C7-SUM(C8:C12)</f>
        <v>56.27999999999997</v>
      </c>
      <c r="D13" s="27">
        <f t="shared" si="5"/>
        <v>89.88000000000005</v>
      </c>
      <c r="E13" s="27">
        <f t="shared" si="5"/>
        <v>103.31999999999994</v>
      </c>
      <c r="F13" s="27">
        <f t="shared" si="5"/>
        <v>66.35999999999996</v>
      </c>
      <c r="G13" s="27">
        <f t="shared" si="5"/>
        <v>44.352000000000004</v>
      </c>
      <c r="H13" s="28">
        <f t="shared" si="5"/>
        <v>3.3599999999999994</v>
      </c>
      <c r="J13" s="202"/>
    </row>
    <row r="14" spans="2:10" ht="11.25">
      <c r="B14" s="8" t="s">
        <v>15</v>
      </c>
      <c r="C14" s="90">
        <v>21.6</v>
      </c>
      <c r="D14" s="91">
        <v>22.572</v>
      </c>
      <c r="E14" s="91">
        <v>18</v>
      </c>
      <c r="F14" s="91">
        <v>16.75</v>
      </c>
      <c r="G14" s="91">
        <v>12.32</v>
      </c>
      <c r="H14" s="92">
        <v>2.34</v>
      </c>
      <c r="J14" s="202"/>
    </row>
    <row r="15" spans="2:10" ht="12" thickBot="1">
      <c r="B15" s="6" t="s">
        <v>16</v>
      </c>
      <c r="C15" s="84">
        <v>20.98</v>
      </c>
      <c r="D15" s="85">
        <v>43</v>
      </c>
      <c r="E15" s="85">
        <v>61.76</v>
      </c>
      <c r="F15" s="85">
        <v>62.87</v>
      </c>
      <c r="G15" s="85">
        <v>72.85</v>
      </c>
      <c r="H15" s="86">
        <v>105.76</v>
      </c>
      <c r="J15" s="202"/>
    </row>
    <row r="16" spans="2:10" ht="13.5" thickBot="1">
      <c r="B16" s="9" t="s">
        <v>17</v>
      </c>
      <c r="C16" s="26">
        <f aca="true" t="shared" si="6" ref="C16:H16">C13+C14-C15</f>
        <v>56.89999999999996</v>
      </c>
      <c r="D16" s="27">
        <f t="shared" si="6"/>
        <v>69.45200000000006</v>
      </c>
      <c r="E16" s="27">
        <f t="shared" si="6"/>
        <v>59.55999999999994</v>
      </c>
      <c r="F16" s="27">
        <f t="shared" si="6"/>
        <v>20.23999999999996</v>
      </c>
      <c r="G16" s="27">
        <f t="shared" si="6"/>
        <v>-16.17799999999999</v>
      </c>
      <c r="H16" s="28">
        <f t="shared" si="6"/>
        <v>-100.06</v>
      </c>
      <c r="J16" s="202"/>
    </row>
    <row r="17" spans="2:10" ht="12" thickBot="1">
      <c r="B17" s="15">
        <v>0.35</v>
      </c>
      <c r="C17" s="19">
        <f aca="true" t="shared" si="7" ref="C17:H17">IF(C16&lt;0,0,impuesto*C16)</f>
        <v>19.914999999999985</v>
      </c>
      <c r="D17" s="20">
        <f t="shared" si="7"/>
        <v>24.308200000000017</v>
      </c>
      <c r="E17" s="20">
        <f t="shared" si="7"/>
        <v>20.84599999999998</v>
      </c>
      <c r="F17" s="20">
        <f t="shared" si="7"/>
        <v>7.083999999999985</v>
      </c>
      <c r="G17" s="20">
        <f t="shared" si="7"/>
        <v>0</v>
      </c>
      <c r="H17" s="21">
        <f t="shared" si="7"/>
        <v>0</v>
      </c>
      <c r="J17" s="202"/>
    </row>
    <row r="18" spans="2:10" ht="16.5" thickBot="1">
      <c r="B18" s="29" t="s">
        <v>18</v>
      </c>
      <c r="C18" s="30">
        <f aca="true" t="shared" si="8" ref="C18:H18">C16-C17</f>
        <v>36.98499999999998</v>
      </c>
      <c r="D18" s="31">
        <f t="shared" si="8"/>
        <v>45.14380000000004</v>
      </c>
      <c r="E18" s="31">
        <f t="shared" si="8"/>
        <v>38.713999999999956</v>
      </c>
      <c r="F18" s="31">
        <f t="shared" si="8"/>
        <v>13.155999999999974</v>
      </c>
      <c r="G18" s="31">
        <f t="shared" si="8"/>
        <v>-16.17799999999999</v>
      </c>
      <c r="H18" s="32">
        <f t="shared" si="8"/>
        <v>-100.06</v>
      </c>
      <c r="J18" s="202"/>
    </row>
    <row r="19" spans="3:10" ht="11.25">
      <c r="C19" s="25"/>
      <c r="D19" s="25"/>
      <c r="E19" s="25"/>
      <c r="F19" s="25"/>
      <c r="G19" s="25"/>
      <c r="H19" s="25"/>
      <c r="J19" s="202"/>
    </row>
    <row r="20" spans="3:10" ht="11.25">
      <c r="C20" s="25"/>
      <c r="D20" s="25"/>
      <c r="E20" s="25"/>
      <c r="F20" s="25"/>
      <c r="G20" s="25"/>
      <c r="H20" s="25"/>
      <c r="J20" s="202"/>
    </row>
    <row r="21" spans="1:10" ht="11.25">
      <c r="A21" s="202"/>
      <c r="B21" s="202"/>
      <c r="C21" s="203"/>
      <c r="D21" s="203"/>
      <c r="E21" s="203"/>
      <c r="F21" s="203"/>
      <c r="G21" s="203"/>
      <c r="H21" s="203"/>
      <c r="I21" s="202"/>
      <c r="J21" s="202"/>
    </row>
    <row r="22" spans="3:8" ht="11.25">
      <c r="C22" s="25"/>
      <c r="D22" s="25"/>
      <c r="E22" s="25"/>
      <c r="F22" s="25"/>
      <c r="G22" s="25"/>
      <c r="H22" s="25"/>
    </row>
    <row r="23" spans="3:8" ht="11.25">
      <c r="C23" s="25"/>
      <c r="D23" s="25"/>
      <c r="E23" s="25"/>
      <c r="F23" s="25"/>
      <c r="G23" s="25"/>
      <c r="H23" s="25"/>
    </row>
    <row r="24" spans="3:8" ht="11.25">
      <c r="C24" s="25"/>
      <c r="D24" s="25"/>
      <c r="E24" s="25"/>
      <c r="F24" s="25"/>
      <c r="G24" s="25"/>
      <c r="H24" s="25"/>
    </row>
  </sheetData>
  <sheetProtection password="C7E4" sheet="1" objects="1" scenarios="1"/>
  <printOptions/>
  <pageMargins left="0.75" right="0.75" top="1" bottom="1" header="0" footer="0"/>
  <pageSetup horizontalDpi="720" verticalDpi="7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C7" sqref="C7"/>
    </sheetView>
  </sheetViews>
  <sheetFormatPr defaultColWidth="11.421875" defaultRowHeight="12.75"/>
  <cols>
    <col min="1" max="1" width="6.28125" style="1" customWidth="1"/>
    <col min="2" max="2" width="22.421875" style="1" customWidth="1"/>
    <col min="3" max="8" width="8.00390625" style="39" bestFit="1" customWidth="1"/>
    <col min="9" max="9" width="3.421875" style="1" customWidth="1"/>
    <col min="10" max="10" width="3.8515625" style="1" customWidth="1"/>
    <col min="11" max="11" width="4.00390625" style="1" customWidth="1"/>
    <col min="12" max="12" width="3.421875" style="1" customWidth="1"/>
    <col min="13" max="16384" width="11.421875" style="1" customWidth="1"/>
  </cols>
  <sheetData>
    <row r="1" ht="3.75" customHeight="1">
      <c r="L1" s="202"/>
    </row>
    <row r="2" ht="3.75" customHeight="1">
      <c r="L2" s="202"/>
    </row>
    <row r="3" spans="1:12" ht="3.75" customHeight="1">
      <c r="A3" s="39"/>
      <c r="B3" s="39"/>
      <c r="L3" s="202"/>
    </row>
    <row r="4" ht="12.75">
      <c r="L4" s="202"/>
    </row>
    <row r="5" ht="12.75">
      <c r="L5" s="202"/>
    </row>
    <row r="6" spans="3:12" ht="11.25"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  <c r="L6" s="202"/>
    </row>
    <row r="7" spans="2:12" ht="12.75">
      <c r="B7" s="5" t="s">
        <v>23</v>
      </c>
      <c r="C7" s="40">
        <f>SUM(BALANCE!C8:C10)-BALANCE!C17</f>
        <v>245</v>
      </c>
      <c r="D7" s="41">
        <f>SUM(BALANCE!D8:D10)-BALANCE!D17</f>
        <v>235</v>
      </c>
      <c r="E7" s="41">
        <f>SUM(BALANCE!E8:E10)-BALANCE!E17</f>
        <v>250</v>
      </c>
      <c r="F7" s="41">
        <f>SUM(BALANCE!F8:F10)-BALANCE!F17</f>
        <v>125</v>
      </c>
      <c r="G7" s="41">
        <f>SUM(BALANCE!G8:G10)-BALANCE!G17</f>
        <v>10</v>
      </c>
      <c r="H7" s="42">
        <f>SUM(BALANCE!H8:H10)-BALANCE!H17</f>
        <v>-125</v>
      </c>
      <c r="L7" s="202"/>
    </row>
    <row r="8" spans="2:12" ht="12.75">
      <c r="B8" s="6" t="s">
        <v>24</v>
      </c>
      <c r="C8" s="43" t="str">
        <f aca="true" t="shared" si="0" ref="C8:H8">IF(C7&gt;=0,".","SI")</f>
        <v>.</v>
      </c>
      <c r="D8" s="44" t="str">
        <f t="shared" si="0"/>
        <v>.</v>
      </c>
      <c r="E8" s="44" t="str">
        <f t="shared" si="0"/>
        <v>.</v>
      </c>
      <c r="F8" s="44" t="str">
        <f t="shared" si="0"/>
        <v>.</v>
      </c>
      <c r="G8" s="44" t="str">
        <f t="shared" si="0"/>
        <v>.</v>
      </c>
      <c r="H8" s="47" t="str">
        <f t="shared" si="0"/>
        <v>SI</v>
      </c>
      <c r="L8" s="202"/>
    </row>
    <row r="9" spans="2:12" ht="12.75">
      <c r="B9" s="38" t="s">
        <v>25</v>
      </c>
      <c r="C9" s="45" t="str">
        <f>IF(BALANCE!C11&lt;SUM(BALANCE!C16:C17),"SI",". . .")</f>
        <v>. . .</v>
      </c>
      <c r="D9" s="46" t="str">
        <f>IF(BALANCE!D11&lt;SUM(BALANCE!D16:D17),"SI",". . .")</f>
        <v>. . .</v>
      </c>
      <c r="E9" s="46" t="str">
        <f>IF(BALANCE!E11&lt;SUM(BALANCE!E16:E17),"SI",". . .")</f>
        <v>. . .</v>
      </c>
      <c r="F9" s="46" t="str">
        <f>IF(BALANCE!F11&lt;SUM(BALANCE!F16:F17),"SI",". . .")</f>
        <v>. . .</v>
      </c>
      <c r="G9" s="46" t="str">
        <f>IF(BALANCE!G11&lt;SUM(BALANCE!G16:G17),"SI",". . .")</f>
        <v>. . .</v>
      </c>
      <c r="H9" s="48" t="str">
        <f>IF(BALANCE!H11&lt;SUM(BALANCE!H16:H17),"SI",". . .")</f>
        <v>SI</v>
      </c>
      <c r="L9" s="202"/>
    </row>
    <row r="10" ht="12.75">
      <c r="L10" s="202"/>
    </row>
    <row r="11" ht="12.75">
      <c r="L11" s="202"/>
    </row>
    <row r="12" spans="3:12" ht="15">
      <c r="C12" s="51" t="s">
        <v>26</v>
      </c>
      <c r="L12" s="202"/>
    </row>
    <row r="13" spans="4:12" ht="12.75">
      <c r="D13" s="1"/>
      <c r="L13" s="202"/>
    </row>
    <row r="14" spans="4:12" ht="15">
      <c r="D14" s="52" t="s">
        <v>27</v>
      </c>
      <c r="L14" s="202"/>
    </row>
    <row r="15" spans="4:12" ht="12.75">
      <c r="D15" s="50"/>
      <c r="L15" s="202"/>
    </row>
    <row r="16" spans="3:12" ht="15">
      <c r="C16" s="53" t="s">
        <v>28</v>
      </c>
      <c r="D16" s="1"/>
      <c r="L16" s="202"/>
    </row>
    <row r="17" spans="2:12" ht="12.75">
      <c r="B17" s="49"/>
      <c r="L17" s="202"/>
    </row>
    <row r="18" ht="12.75">
      <c r="L18" s="202"/>
    </row>
    <row r="19" spans="3:12" ht="11.25">
      <c r="C19" s="2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L19" s="202"/>
    </row>
    <row r="20" spans="2:12" ht="11.25">
      <c r="B20" s="66" t="s">
        <v>46</v>
      </c>
      <c r="C20" s="78">
        <f>BALANCE!C14+BALANCE!C15</f>
        <v>485</v>
      </c>
      <c r="D20" s="79">
        <f>BALANCE!D14+BALANCE!D15</f>
        <v>565</v>
      </c>
      <c r="E20" s="79">
        <f>BALANCE!E14+BALANCE!E15</f>
        <v>635</v>
      </c>
      <c r="F20" s="79">
        <f>BALANCE!F14+BALANCE!F15</f>
        <v>550</v>
      </c>
      <c r="G20" s="79">
        <f>BALANCE!G14+BALANCE!G15</f>
        <v>470</v>
      </c>
      <c r="H20" s="80">
        <f>BALANCE!H14+BALANCE!H15</f>
        <v>-85</v>
      </c>
      <c r="L20" s="202"/>
    </row>
    <row r="21" ht="12.75">
      <c r="L21" s="202"/>
    </row>
    <row r="22" ht="12.75">
      <c r="L22" s="202"/>
    </row>
    <row r="23" spans="1:12" ht="12.75">
      <c r="A23" s="202"/>
      <c r="B23" s="202"/>
      <c r="C23" s="204"/>
      <c r="D23" s="204"/>
      <c r="E23" s="204"/>
      <c r="F23" s="204"/>
      <c r="G23" s="204"/>
      <c r="H23" s="204"/>
      <c r="I23" s="202"/>
      <c r="J23" s="202"/>
      <c r="K23" s="202"/>
      <c r="L23" s="202"/>
    </row>
  </sheetData>
  <sheetProtection password="C7E4" sheet="1" objects="1" scenarios="1"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M7" sqref="M7"/>
    </sheetView>
  </sheetViews>
  <sheetFormatPr defaultColWidth="11.421875" defaultRowHeight="12.75"/>
  <cols>
    <col min="1" max="1" width="6.28125" style="1" customWidth="1"/>
    <col min="2" max="2" width="17.28125" style="1" customWidth="1"/>
    <col min="3" max="8" width="8.00390625" style="1" bestFit="1" customWidth="1"/>
    <col min="9" max="9" width="3.421875" style="1" customWidth="1"/>
    <col min="10" max="10" width="3.8515625" style="1" customWidth="1"/>
    <col min="11" max="11" width="2.421875" style="1" customWidth="1"/>
    <col min="12" max="16384" width="11.421875" style="1" customWidth="1"/>
  </cols>
  <sheetData>
    <row r="1" ht="11.25">
      <c r="K1" s="202"/>
    </row>
    <row r="2" spans="3:11" ht="11.25"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K2" s="202"/>
    </row>
    <row r="3" spans="2:11" ht="11.25">
      <c r="B3" s="63" t="s">
        <v>29</v>
      </c>
      <c r="C3" s="54">
        <f>SUM(BALANCE!C8:C10)</f>
        <v>270</v>
      </c>
      <c r="D3" s="55">
        <f>SUM(BALANCE!D8:D10)</f>
        <v>320</v>
      </c>
      <c r="E3" s="55">
        <f>SUM(BALANCE!E8:E10)</f>
        <v>400</v>
      </c>
      <c r="F3" s="55">
        <f>SUM(BALANCE!F8:F10)</f>
        <v>450</v>
      </c>
      <c r="G3" s="55">
        <f>SUM(BALANCE!G8:G10)</f>
        <v>310</v>
      </c>
      <c r="H3" s="56">
        <f>SUM(BALANCE!H8:H10)</f>
        <v>180</v>
      </c>
      <c r="K3" s="202"/>
    </row>
    <row r="4" spans="2:11" ht="12" thickBot="1">
      <c r="B4" s="7" t="s">
        <v>30</v>
      </c>
      <c r="C4" s="57">
        <f>BALANCE!C17</f>
        <v>25</v>
      </c>
      <c r="D4" s="58">
        <f>BALANCE!D17</f>
        <v>85</v>
      </c>
      <c r="E4" s="58">
        <f>BALANCE!E17</f>
        <v>150</v>
      </c>
      <c r="F4" s="58">
        <f>BALANCE!F17</f>
        <v>325</v>
      </c>
      <c r="G4" s="58">
        <f>BALANCE!G17</f>
        <v>300</v>
      </c>
      <c r="H4" s="59">
        <f>BALANCE!H17</f>
        <v>305</v>
      </c>
      <c r="K4" s="202"/>
    </row>
    <row r="5" spans="2:11" ht="13.5" thickBot="1">
      <c r="B5" s="33" t="s">
        <v>31</v>
      </c>
      <c r="C5" s="60">
        <f>ANÁLISIS!C7</f>
        <v>245</v>
      </c>
      <c r="D5" s="61">
        <f>ANÁLISIS!D7</f>
        <v>235</v>
      </c>
      <c r="E5" s="61">
        <f>ANÁLISIS!E7</f>
        <v>250</v>
      </c>
      <c r="F5" s="61">
        <f>ANÁLISIS!F7</f>
        <v>125</v>
      </c>
      <c r="G5" s="61">
        <f>ANÁLISIS!G7</f>
        <v>10</v>
      </c>
      <c r="H5" s="62">
        <f>ANÁLISIS!H7</f>
        <v>-125</v>
      </c>
      <c r="K5" s="202"/>
    </row>
    <row r="6" ht="11.25">
      <c r="K6" s="202"/>
    </row>
    <row r="7" ht="11.25">
      <c r="K7" s="202"/>
    </row>
    <row r="8" ht="11.25">
      <c r="K8" s="202"/>
    </row>
    <row r="9" ht="11.25">
      <c r="K9" s="202"/>
    </row>
    <row r="10" ht="11.25">
      <c r="K10" s="202"/>
    </row>
    <row r="11" ht="11.25">
      <c r="K11" s="202"/>
    </row>
    <row r="12" ht="11.25">
      <c r="K12" s="202"/>
    </row>
    <row r="13" ht="11.25">
      <c r="K13" s="202"/>
    </row>
    <row r="14" ht="11.25">
      <c r="K14" s="202"/>
    </row>
    <row r="15" ht="11.25">
      <c r="K15" s="202"/>
    </row>
    <row r="16" ht="11.25">
      <c r="K16" s="202"/>
    </row>
    <row r="17" ht="11.25">
      <c r="K17" s="202"/>
    </row>
    <row r="18" ht="11.25">
      <c r="K18" s="202"/>
    </row>
    <row r="19" ht="11.25">
      <c r="K19" s="202"/>
    </row>
    <row r="20" ht="11.25">
      <c r="K20" s="202"/>
    </row>
    <row r="21" ht="11.25">
      <c r="K21" s="202"/>
    </row>
    <row r="22" ht="11.25">
      <c r="K22" s="202"/>
    </row>
    <row r="23" ht="11.25">
      <c r="K23" s="202"/>
    </row>
    <row r="24" ht="11.25">
      <c r="K24" s="202"/>
    </row>
    <row r="25" spans="1:11" ht="11.2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</row>
  </sheetData>
  <sheetProtection password="C7E4" sheet="1" objects="1" scenarios="1"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K16" sqref="K16"/>
    </sheetView>
  </sheetViews>
  <sheetFormatPr defaultColWidth="11.421875" defaultRowHeight="12.75"/>
  <cols>
    <col min="1" max="1" width="6.28125" style="1" customWidth="1"/>
    <col min="2" max="2" width="20.00390625" style="1" customWidth="1"/>
    <col min="3" max="3" width="9.140625" style="1" customWidth="1"/>
    <col min="4" max="4" width="3.421875" style="1" customWidth="1"/>
    <col min="5" max="5" width="20.00390625" style="1" customWidth="1"/>
    <col min="6" max="6" width="9.140625" style="1" customWidth="1"/>
    <col min="7" max="7" width="2.28125" style="1" customWidth="1"/>
    <col min="8" max="8" width="2.7109375" style="1" customWidth="1"/>
    <col min="9" max="9" width="3.421875" style="1" customWidth="1"/>
    <col min="10" max="10" width="3.8515625" style="1" customWidth="1"/>
    <col min="11" max="16384" width="11.421875" style="1" customWidth="1"/>
  </cols>
  <sheetData>
    <row r="1" ht="11.25">
      <c r="H1" s="202"/>
    </row>
    <row r="2" spans="3:8" ht="11.25">
      <c r="C2" s="64" t="s">
        <v>4</v>
      </c>
      <c r="F2" s="64" t="s">
        <v>4</v>
      </c>
      <c r="H2" s="202"/>
    </row>
    <row r="3" spans="2:8" ht="11.25">
      <c r="B3" s="63" t="s">
        <v>3</v>
      </c>
      <c r="C3" s="65">
        <f>BALANCE!C10</f>
        <v>25</v>
      </c>
      <c r="E3" s="63" t="s">
        <v>10</v>
      </c>
      <c r="F3" s="65">
        <f>BALANCE!C17</f>
        <v>25</v>
      </c>
      <c r="H3" s="202"/>
    </row>
    <row r="4" spans="2:8" ht="11.25">
      <c r="B4" s="63" t="s">
        <v>2</v>
      </c>
      <c r="C4" s="65">
        <f>BALANCE!C9</f>
        <v>70</v>
      </c>
      <c r="E4" s="63" t="s">
        <v>11</v>
      </c>
      <c r="F4" s="65">
        <f>BALANCE!C16</f>
        <v>10</v>
      </c>
      <c r="H4" s="202"/>
    </row>
    <row r="5" spans="2:8" ht="11.25">
      <c r="B5" s="63" t="s">
        <v>1</v>
      </c>
      <c r="C5" s="65">
        <f>BALANCE!C8</f>
        <v>175</v>
      </c>
      <c r="E5" s="66" t="s">
        <v>32</v>
      </c>
      <c r="F5" s="67">
        <f>SUM(BALANCE!C14:C15)</f>
        <v>485</v>
      </c>
      <c r="H5" s="202"/>
    </row>
    <row r="6" spans="2:8" ht="11.25">
      <c r="B6" s="66" t="s">
        <v>0</v>
      </c>
      <c r="C6" s="67">
        <f>BALANCE!C7</f>
        <v>250</v>
      </c>
      <c r="H6" s="202"/>
    </row>
    <row r="7" ht="11.25">
      <c r="H7" s="202"/>
    </row>
    <row r="8" ht="11.25">
      <c r="H8" s="202"/>
    </row>
    <row r="9" ht="11.25">
      <c r="H9" s="202"/>
    </row>
    <row r="10" ht="11.25">
      <c r="H10" s="202"/>
    </row>
    <row r="11" ht="11.25">
      <c r="H11" s="202"/>
    </row>
    <row r="12" ht="11.25">
      <c r="H12" s="202"/>
    </row>
    <row r="13" ht="11.25">
      <c r="H13" s="202"/>
    </row>
    <row r="14" ht="11.25">
      <c r="H14" s="202"/>
    </row>
    <row r="15" ht="11.25">
      <c r="H15" s="202"/>
    </row>
    <row r="16" ht="11.25">
      <c r="H16" s="202"/>
    </row>
    <row r="17" ht="11.25">
      <c r="H17" s="202"/>
    </row>
    <row r="18" ht="11.25">
      <c r="H18" s="202"/>
    </row>
    <row r="19" ht="11.25">
      <c r="H19" s="202"/>
    </row>
    <row r="20" ht="11.25">
      <c r="H20" s="202"/>
    </row>
    <row r="21" ht="11.25">
      <c r="H21" s="202"/>
    </row>
    <row r="22" ht="11.25">
      <c r="H22" s="202"/>
    </row>
    <row r="23" ht="11.25">
      <c r="H23" s="202"/>
    </row>
    <row r="24" spans="1:8" ht="11.25">
      <c r="A24" s="202"/>
      <c r="B24" s="202"/>
      <c r="C24" s="202"/>
      <c r="D24" s="202"/>
      <c r="E24" s="202"/>
      <c r="F24" s="202"/>
      <c r="G24" s="202"/>
      <c r="H24" s="202"/>
    </row>
  </sheetData>
  <sheetProtection password="C7E4" sheet="1" objects="1" scenarios="1"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">
      <selection activeCell="H42" sqref="H42"/>
    </sheetView>
  </sheetViews>
  <sheetFormatPr defaultColWidth="11.421875" defaultRowHeight="12.75"/>
  <cols>
    <col min="1" max="1" width="2.57421875" style="76" customWidth="1"/>
    <col min="2" max="2" width="30.00390625" style="68" bestFit="1" customWidth="1"/>
    <col min="3" max="3" width="0.9921875" style="76" customWidth="1"/>
    <col min="4" max="4" width="10.140625" style="76" bestFit="1" customWidth="1"/>
    <col min="5" max="9" width="10.00390625" style="76" bestFit="1" customWidth="1"/>
    <col min="10" max="10" width="11.421875" style="76" customWidth="1"/>
    <col min="11" max="11" width="2.8515625" style="76" customWidth="1"/>
    <col min="12" max="12" width="3.421875" style="76" customWidth="1"/>
    <col min="13" max="16384" width="11.421875" style="76" customWidth="1"/>
  </cols>
  <sheetData>
    <row r="1" ht="12">
      <c r="L1" s="205"/>
    </row>
    <row r="2" spans="4:12" ht="12">
      <c r="D2" s="123" t="str">
        <f>BALANCE!C6</f>
        <v>Año 1994</v>
      </c>
      <c r="E2" s="124" t="str">
        <f>BALANCE!D6</f>
        <v>Año 1995</v>
      </c>
      <c r="F2" s="124" t="str">
        <f>BALANCE!E6</f>
        <v>Año 1996</v>
      </c>
      <c r="G2" s="124" t="str">
        <f>BALANCE!F6</f>
        <v>Año 1997</v>
      </c>
      <c r="H2" s="124" t="str">
        <f>BALANCE!G6</f>
        <v>Año 1998</v>
      </c>
      <c r="I2" s="125" t="str">
        <f>BALANCE!H6</f>
        <v>Año 1999</v>
      </c>
      <c r="L2" s="205"/>
    </row>
    <row r="3" ht="5.25" customHeight="1" thickBot="1">
      <c r="L3" s="205"/>
    </row>
    <row r="4" spans="2:12" ht="12">
      <c r="B4" s="69" t="s">
        <v>33</v>
      </c>
      <c r="D4" s="99">
        <f>'CR'!C13/BALANCE!C11</f>
        <v>0.10823076923076917</v>
      </c>
      <c r="E4" s="100">
        <f>'CR'!D13/BALANCE!D11</f>
        <v>0.13414925373134337</v>
      </c>
      <c r="F4" s="100">
        <f>'CR'!E13/BALANCE!E11</f>
        <v>0.12155294117647052</v>
      </c>
      <c r="G4" s="100">
        <f>'CR'!F13/BALANCE!F11</f>
        <v>0.06635999999999996</v>
      </c>
      <c r="H4" s="100">
        <f>'CR'!G13/BALANCE!G11</f>
        <v>0.046200000000000005</v>
      </c>
      <c r="I4" s="101">
        <f>'CR'!H13/BALANCE!H11</f>
        <v>0.008506329113924049</v>
      </c>
      <c r="L4" s="205"/>
    </row>
    <row r="5" spans="2:12" ht="12.75" thickBot="1">
      <c r="B5" s="70" t="s">
        <v>34</v>
      </c>
      <c r="D5" s="102">
        <f>IF(ANÁLISIS!C9="SI","QUIEBRA",'CR'!C18/SUM(BALANCE!C14:C15))</f>
        <v>0.07625773195876284</v>
      </c>
      <c r="E5" s="103">
        <f>IF(ANÁLISIS!D9="SI","QUIEBRA",'CR'!D18/SUM(BALANCE!D14:D15))</f>
        <v>0.0799005309734514</v>
      </c>
      <c r="F5" s="103">
        <f>IF(ANÁLISIS!E9="SI","QUIEBRA",'CR'!E18/SUM(BALANCE!E14:E15))</f>
        <v>0.0609669291338582</v>
      </c>
      <c r="G5" s="103">
        <f>IF(ANÁLISIS!F9="SI","QUIEBRA",'CR'!F18/SUM(BALANCE!F14:F15))</f>
        <v>0.02391999999999995</v>
      </c>
      <c r="H5" s="103">
        <f>IF(ANÁLISIS!G9="SI","QUIEBRA",'CR'!G18/SUM(BALANCE!G14:G15))</f>
        <v>-0.03442127659574466</v>
      </c>
      <c r="I5" s="104" t="str">
        <f>IF(ANÁLISIS!H9="SI","QUIEBRA",'CR'!H18/SUM(BALANCE!H14:H15))</f>
        <v>QUIEBRA</v>
      </c>
      <c r="L5" s="205"/>
    </row>
    <row r="6" spans="4:12" ht="5.25" customHeight="1" thickBot="1">
      <c r="D6" s="105"/>
      <c r="E6" s="106"/>
      <c r="F6" s="106"/>
      <c r="G6" s="106"/>
      <c r="H6" s="106"/>
      <c r="I6" s="107"/>
      <c r="L6" s="205"/>
    </row>
    <row r="7" spans="2:12" ht="12">
      <c r="B7" s="72" t="s">
        <v>35</v>
      </c>
      <c r="D7" s="108">
        <f>SUM(BALANCE!C8:C10)/BALANCE!C17</f>
        <v>10.8</v>
      </c>
      <c r="E7" s="109">
        <f>SUM(BALANCE!D8:D10)/BALANCE!D17</f>
        <v>3.764705882352941</v>
      </c>
      <c r="F7" s="109">
        <f>SUM(BALANCE!E8:E10)/BALANCE!E17</f>
        <v>2.6666666666666665</v>
      </c>
      <c r="G7" s="109">
        <f>SUM(BALANCE!F8:F10)/BALANCE!F17</f>
        <v>1.3846153846153846</v>
      </c>
      <c r="H7" s="109">
        <f>SUM(BALANCE!G8:G10)/BALANCE!G17</f>
        <v>1.0333333333333334</v>
      </c>
      <c r="I7" s="110">
        <f>SUM(BALANCE!H8:H10)/BALANCE!H17</f>
        <v>0.5901639344262295</v>
      </c>
      <c r="L7" s="205"/>
    </row>
    <row r="8" spans="2:12" ht="12">
      <c r="B8" s="73" t="s">
        <v>36</v>
      </c>
      <c r="D8" s="108">
        <f>SUM(BALANCE!C9:C10)/BALANCE!C17</f>
        <v>3.8</v>
      </c>
      <c r="E8" s="109">
        <f>SUM(BALANCE!D9:D10)/BALANCE!D17</f>
        <v>1.1176470588235294</v>
      </c>
      <c r="F8" s="109">
        <f>SUM(BALANCE!E9:E10)/BALANCE!E17</f>
        <v>0.7666666666666667</v>
      </c>
      <c r="G8" s="109">
        <f>SUM(BALANCE!F9:F10)/BALANCE!F17</f>
        <v>0.47692307692307695</v>
      </c>
      <c r="H8" s="109">
        <f>SUM(BALANCE!G9:G10)/BALANCE!G17</f>
        <v>0.36666666666666664</v>
      </c>
      <c r="I8" s="110">
        <f>SUM(BALANCE!H9:H10)/BALANCE!H17</f>
        <v>0.2786885245901639</v>
      </c>
      <c r="L8" s="205"/>
    </row>
    <row r="9" spans="2:12" ht="12.75" thickBot="1">
      <c r="B9" s="74" t="s">
        <v>37</v>
      </c>
      <c r="D9" s="108">
        <f>BALANCE!C10/BALANCE!C17</f>
        <v>1</v>
      </c>
      <c r="E9" s="109">
        <f>BALANCE!D10/BALANCE!D17</f>
        <v>0.17647058823529413</v>
      </c>
      <c r="F9" s="109">
        <f>BALANCE!E10/BALANCE!E17</f>
        <v>0.16666666666666666</v>
      </c>
      <c r="G9" s="109">
        <f>BALANCE!F10/BALANCE!F17</f>
        <v>0.12307692307692308</v>
      </c>
      <c r="H9" s="109">
        <f>BALANCE!G10/BALANCE!G17</f>
        <v>0.05</v>
      </c>
      <c r="I9" s="110">
        <f>BALANCE!H10/BALANCE!H17</f>
        <v>0.01639344262295082</v>
      </c>
      <c r="L9" s="205"/>
    </row>
    <row r="10" spans="4:12" ht="5.25" customHeight="1" thickBot="1">
      <c r="D10" s="105"/>
      <c r="E10" s="106"/>
      <c r="F10" s="106"/>
      <c r="G10" s="106"/>
      <c r="H10" s="106"/>
      <c r="I10" s="107"/>
      <c r="L10" s="205"/>
    </row>
    <row r="11" spans="2:12" ht="12">
      <c r="B11" s="69" t="s">
        <v>61</v>
      </c>
      <c r="D11" s="111">
        <f>SUM(BALANCE!C8:C10)/BALANCE!C11</f>
        <v>0.5192307692307693</v>
      </c>
      <c r="E11" s="112">
        <f>SUM(BALANCE!D8:D10)/BALANCE!D11</f>
        <v>0.47761194029850745</v>
      </c>
      <c r="F11" s="112">
        <f>SUM(BALANCE!E8:E10)/BALANCE!E11</f>
        <v>0.47058823529411764</v>
      </c>
      <c r="G11" s="112">
        <f>SUM(BALANCE!F8:F10)/BALANCE!F11</f>
        <v>0.45</v>
      </c>
      <c r="H11" s="112">
        <f>SUM(BALANCE!G8:G10)/BALANCE!G11</f>
        <v>0.3229166666666667</v>
      </c>
      <c r="I11" s="113">
        <f>SUM(BALANCE!H8:H10)/BALANCE!H11</f>
        <v>0.45569620253164556</v>
      </c>
      <c r="L11" s="205"/>
    </row>
    <row r="12" spans="2:12" ht="12.75" thickBot="1">
      <c r="B12" s="70" t="s">
        <v>38</v>
      </c>
      <c r="D12" s="114">
        <f>IF(ANÁLISIS!C8="SI","SUSPENSIÓN",SUM(BALANCE!C16:C17)/SUM(BALANCE!C14:C15))</f>
        <v>0.07216494845360824</v>
      </c>
      <c r="E12" s="115">
        <f>IF(ANÁLISIS!D8="SI","SUSPENSIÓN",SUM(BALANCE!D16:D17)/SUM(BALANCE!D14:D15))</f>
        <v>0.18584070796460178</v>
      </c>
      <c r="F12" s="115">
        <f>IF(ANÁLISIS!E8="SI","SUSPENSIÓN",SUM(BALANCE!E16:E17)/SUM(BALANCE!E14:E15))</f>
        <v>0.33858267716535434</v>
      </c>
      <c r="G12" s="115">
        <f>IF(ANÁLISIS!F8="SI","SUSPENSIÓN",SUM(BALANCE!F16:F17)/SUM(BALANCE!F14:F15))</f>
        <v>0.8181818181818182</v>
      </c>
      <c r="H12" s="115">
        <f>IF(ANÁLISIS!G8="SI","SUSPENSIÓN",SUM(BALANCE!G16:G17)/SUM(BALANCE!G14:G15))</f>
        <v>1.0425531914893618</v>
      </c>
      <c r="I12" s="116" t="str">
        <f>IF(ANÁLISIS!H8="SI","SUSPENSIÓN",SUM(BALANCE!H16:H17)/SUM(BALANCE!H14:H15))</f>
        <v>SUSPENSIÓN</v>
      </c>
      <c r="L12" s="205"/>
    </row>
    <row r="13" spans="4:12" ht="5.25" customHeight="1" thickBot="1">
      <c r="D13" s="105"/>
      <c r="E13" s="106"/>
      <c r="F13" s="106"/>
      <c r="G13" s="106"/>
      <c r="H13" s="106"/>
      <c r="I13" s="107"/>
      <c r="L13" s="205"/>
    </row>
    <row r="14" spans="2:12" ht="11.25">
      <c r="B14" s="77" t="s">
        <v>39</v>
      </c>
      <c r="D14" s="117">
        <f>SUM(BALANCE!C14:C15)/BALANCE!C7</f>
        <v>1.94</v>
      </c>
      <c r="E14" s="118">
        <f>SUM(BALANCE!D14:D15)/BALANCE!D7</f>
        <v>1.6142857142857143</v>
      </c>
      <c r="F14" s="118">
        <f>SUM(BALANCE!E14:E15)/BALANCE!E7</f>
        <v>1.4111111111111112</v>
      </c>
      <c r="G14" s="118">
        <f>SUM(BALANCE!F14:F15)/BALANCE!F7</f>
        <v>1</v>
      </c>
      <c r="H14" s="118">
        <f>SUM(BALANCE!G14:G15)/BALANCE!G7</f>
        <v>0.7230769230769231</v>
      </c>
      <c r="I14" s="119">
        <f>SUM(BALANCE!H14:H15)/BALANCE!H7</f>
        <v>-0.3953488372093023</v>
      </c>
      <c r="L14" s="205"/>
    </row>
    <row r="15" spans="2:12" ht="12.75" thickBot="1">
      <c r="B15" s="75" t="s">
        <v>40</v>
      </c>
      <c r="D15" s="117">
        <f>'CR'!C13/'CR'!C15</f>
        <v>2.6825548141086735</v>
      </c>
      <c r="E15" s="118">
        <f>'CR'!D13/'CR'!D15</f>
        <v>2.0902325581395362</v>
      </c>
      <c r="F15" s="118">
        <f>'CR'!E13/'CR'!E15</f>
        <v>1.6729274611398954</v>
      </c>
      <c r="G15" s="118">
        <f>'CR'!F13/'CR'!F15</f>
        <v>1.0555113726737706</v>
      </c>
      <c r="H15" s="118">
        <f>'CR'!G13/'CR'!G15</f>
        <v>0.6088126286890873</v>
      </c>
      <c r="I15" s="119">
        <f>'CR'!H13/'CR'!H15</f>
        <v>0.031770045385779114</v>
      </c>
      <c r="L15" s="205"/>
    </row>
    <row r="16" spans="4:12" ht="5.25" customHeight="1" thickBot="1">
      <c r="D16" s="105"/>
      <c r="E16" s="106"/>
      <c r="F16" s="106"/>
      <c r="G16" s="106"/>
      <c r="H16" s="106"/>
      <c r="I16" s="107"/>
      <c r="L16" s="205"/>
    </row>
    <row r="17" spans="2:12" ht="12">
      <c r="B17" s="69" t="s">
        <v>41</v>
      </c>
      <c r="D17" s="111">
        <f>'CR'!C13/AVERAGE(BALANCE!$C11:$H11)</f>
        <v>0.07683276450511942</v>
      </c>
      <c r="E17" s="112">
        <f>'CR'!D13/AVERAGE(BALANCE!$C11:$H11)</f>
        <v>0.12270307167235502</v>
      </c>
      <c r="F17" s="112">
        <f>'CR'!E13/AVERAGE(BALANCE!$C11:$H11)</f>
        <v>0.14105119453924905</v>
      </c>
      <c r="G17" s="112">
        <f>'CR'!F13/AVERAGE(BALANCE!$C11:$H11)</f>
        <v>0.09059385665529004</v>
      </c>
      <c r="H17" s="112">
        <f>'CR'!G13/AVERAGE(BALANCE!$C11:$H11)</f>
        <v>0.06054880546075086</v>
      </c>
      <c r="I17" s="113">
        <f>'CR'!H13/AVERAGE(BALANCE!$C11:$H11)</f>
        <v>0.004587030716723548</v>
      </c>
      <c r="L17" s="205"/>
    </row>
    <row r="18" spans="2:12" ht="12">
      <c r="B18" s="71" t="s">
        <v>42</v>
      </c>
      <c r="D18" s="108">
        <f>('CR'!C7-'CR'!C12)/AVERAGE(BALANCE!$C11:$H11)</f>
        <v>0.45642320819112625</v>
      </c>
      <c r="E18" s="109">
        <f>('CR'!D7-'CR'!D12)/AVERAGE(BALANCE!$C11:$H11)</f>
        <v>0.728914675767918</v>
      </c>
      <c r="F18" s="109">
        <f>('CR'!E7-'CR'!E12)/AVERAGE(BALANCE!$C11:$H11)</f>
        <v>0.8379112627986348</v>
      </c>
      <c r="G18" s="109">
        <f>('CR'!F7-'CR'!F12)/AVERAGE(BALANCE!$C11:$H11)</f>
        <v>0.5381706484641638</v>
      </c>
      <c r="H18" s="109">
        <f>('CR'!G7-'CR'!G12)/AVERAGE(BALANCE!$C11:$H11)</f>
        <v>0.3596887372013652</v>
      </c>
      <c r="I18" s="110">
        <f>('CR'!H7-'CR'!H12)/AVERAGE(BALANCE!$C11:$H11)</f>
        <v>0.02724914675767918</v>
      </c>
      <c r="L18" s="205"/>
    </row>
    <row r="19" spans="2:12" ht="12">
      <c r="B19" s="71" t="s">
        <v>43</v>
      </c>
      <c r="D19" s="108">
        <f>('CR'!C7-'CR'!C12)/AVERAGE(BALANCE!$C7:$H7)</f>
        <v>0.8137849898580122</v>
      </c>
      <c r="E19" s="109">
        <f>('CR'!D7-'CR'!D12)/AVERAGE(BALANCE!$C7:$H7)</f>
        <v>1.29962677484787</v>
      </c>
      <c r="F19" s="109">
        <f>('CR'!E7-'CR'!E12)/AVERAGE(BALANCE!$C7:$H7)</f>
        <v>1.4939634888438134</v>
      </c>
      <c r="G19" s="109">
        <f>('CR'!F7-'CR'!F12)/AVERAGE(BALANCE!$C7:$H7)</f>
        <v>0.9595375253549696</v>
      </c>
      <c r="H19" s="109">
        <f>('CR'!G7-'CR'!G12)/AVERAGE(BALANCE!$C7:$H7)</f>
        <v>0.6413111561866126</v>
      </c>
      <c r="I19" s="110">
        <f>('CR'!H7-'CR'!H12)/AVERAGE(BALANCE!$C7:$H7)</f>
        <v>0.0485841784989858</v>
      </c>
      <c r="L19" s="205"/>
    </row>
    <row r="20" spans="2:12" ht="12">
      <c r="B20" s="71" t="s">
        <v>44</v>
      </c>
      <c r="D20" s="108">
        <f>('CR'!C7-'CR'!C12)/AVERAGE(EVOLUCIÓN!$C3:$H3)</f>
        <v>1.0393678756476683</v>
      </c>
      <c r="E20" s="109">
        <f>('CR'!D7-'CR'!D12)/AVERAGE(EVOLUCIÓN!$C3:$H3)</f>
        <v>1.659886010362694</v>
      </c>
      <c r="F20" s="109">
        <f>('CR'!E7-'CR'!E12)/AVERAGE(EVOLUCIÓN!$C3:$H3)</f>
        <v>1.9080932642487045</v>
      </c>
      <c r="G20" s="109">
        <f>('CR'!F7-'CR'!F12)/AVERAGE(EVOLUCIÓN!$C3:$H3)</f>
        <v>1.2255233160621761</v>
      </c>
      <c r="H20" s="109">
        <f>('CR'!G7-'CR'!G12)/AVERAGE(EVOLUCIÓN!$C3:$H3)</f>
        <v>0.819083937823834</v>
      </c>
      <c r="I20" s="110">
        <f>('CR'!H7-'CR'!H12)/AVERAGE(EVOLUCIÓN!$C3:$H3)</f>
        <v>0.06205181347150259</v>
      </c>
      <c r="L20" s="205"/>
    </row>
    <row r="21" spans="2:12" ht="12.75" thickBot="1">
      <c r="B21" s="70" t="s">
        <v>45</v>
      </c>
      <c r="D21" s="120">
        <f>IF('CR'!C16&lt;0," BAT &lt; 0 ",IF(ANÁLISIS!C20&lt;0," RP &lt; 0",'CR'!C16/AVERAGE(ANÁLISIS!C20:H20)))</f>
        <v>0.1303053435114503</v>
      </c>
      <c r="E21" s="121">
        <f>IF('CR'!D16&lt;0," BAT &lt; 0 ",IF(ANÁLISIS!D20&lt;0," RP &lt; 0",'CR'!D16/AVERAGE(ANÁLISIS!D20:I20)))</f>
        <v>0.16265105386416875</v>
      </c>
      <c r="F21" s="121">
        <f>IF('CR'!E16&lt;0," BAT &lt; 0 ",IF(ANÁLISIS!E20&lt;0," RP &lt; 0",'CR'!E16/AVERAGE(ANÁLISIS!E20:J20)))</f>
        <v>0.15174522292993614</v>
      </c>
      <c r="G21" s="121">
        <f>IF('CR'!F16&lt;0," BAT &lt; 0 ",IF(ANÁLISIS!F20&lt;0," RP &lt; 0",'CR'!F16/AVERAGE(ANÁLISIS!F20:K20)))</f>
        <v>0.0649411764705881</v>
      </c>
      <c r="H21" s="121" t="str">
        <f>IF('CR'!G16&lt;0," BAT &lt; 0 ",IF(ANÁLISIS!G20&lt;0," RP &lt; 0",'CR'!G16/AVERAGE(ANÁLISIS!G20:L20)))</f>
        <v> BAT &lt; 0 </v>
      </c>
      <c r="I21" s="122" t="str">
        <f>IF('CR'!H16&lt;0," BAT &lt; 0 ",IF(ANÁLISIS!H20&lt;0," RP &lt; 0",'CR'!H16/AVERAGE(ANÁLISIS!H20:M20)))</f>
        <v> BAT &lt; 0 </v>
      </c>
      <c r="L21" s="205"/>
    </row>
    <row r="22" ht="6" customHeight="1">
      <c r="L22" s="205"/>
    </row>
    <row r="23" spans="2:12" ht="18.75">
      <c r="B23" s="127" t="s">
        <v>49</v>
      </c>
      <c r="C23" s="128"/>
      <c r="D23" s="128"/>
      <c r="E23" s="128"/>
      <c r="F23" s="128"/>
      <c r="G23" s="128"/>
      <c r="H23" s="132" t="s">
        <v>50</v>
      </c>
      <c r="I23" s="128"/>
      <c r="J23" s="128"/>
      <c r="L23" s="205"/>
    </row>
    <row r="24" spans="2:12" ht="6.75" customHeight="1">
      <c r="B24" s="130"/>
      <c r="C24" s="128"/>
      <c r="D24" s="128"/>
      <c r="E24" s="128"/>
      <c r="F24" s="128"/>
      <c r="G24" s="128"/>
      <c r="H24" s="128"/>
      <c r="I24" s="128"/>
      <c r="J24" s="128"/>
      <c r="L24" s="205"/>
    </row>
    <row r="25" spans="2:12" ht="18.75">
      <c r="B25" s="127" t="s">
        <v>51</v>
      </c>
      <c r="C25" s="128"/>
      <c r="D25" s="128"/>
      <c r="E25" s="128"/>
      <c r="F25" s="128"/>
      <c r="G25" s="128"/>
      <c r="H25" s="129"/>
      <c r="I25" s="128"/>
      <c r="J25" s="132" t="s">
        <v>52</v>
      </c>
      <c r="L25" s="205"/>
    </row>
    <row r="26" spans="2:12" ht="6.75" customHeight="1">
      <c r="B26" s="130"/>
      <c r="C26" s="128"/>
      <c r="D26" s="128"/>
      <c r="E26" s="128"/>
      <c r="F26" s="128"/>
      <c r="G26" s="128"/>
      <c r="H26" s="128"/>
      <c r="I26" s="128"/>
      <c r="J26" s="128"/>
      <c r="L26" s="205"/>
    </row>
    <row r="27" spans="2:12" ht="18.75">
      <c r="B27" s="127" t="s">
        <v>53</v>
      </c>
      <c r="C27" s="128"/>
      <c r="D27" s="128"/>
      <c r="E27" s="128"/>
      <c r="F27" s="132" t="s">
        <v>54</v>
      </c>
      <c r="G27" s="128"/>
      <c r="H27" s="129"/>
      <c r="I27" s="128"/>
      <c r="J27" s="128"/>
      <c r="L27" s="205"/>
    </row>
    <row r="28" spans="2:12" ht="6.75" customHeight="1">
      <c r="B28" s="130"/>
      <c r="C28" s="128"/>
      <c r="D28" s="128"/>
      <c r="E28" s="128"/>
      <c r="F28" s="128"/>
      <c r="G28" s="128"/>
      <c r="H28" s="128"/>
      <c r="I28" s="128"/>
      <c r="J28" s="128"/>
      <c r="L28" s="205"/>
    </row>
    <row r="29" spans="2:12" ht="18.75">
      <c r="B29" s="127" t="s">
        <v>55</v>
      </c>
      <c r="C29" s="128"/>
      <c r="D29" s="128"/>
      <c r="E29" s="128"/>
      <c r="F29" s="132" t="s">
        <v>56</v>
      </c>
      <c r="G29" s="128"/>
      <c r="H29" s="128"/>
      <c r="I29" s="128"/>
      <c r="J29" s="128"/>
      <c r="L29" s="205"/>
    </row>
    <row r="30" spans="2:12" ht="6.75" customHeight="1">
      <c r="B30" s="130"/>
      <c r="C30" s="128"/>
      <c r="D30" s="128"/>
      <c r="E30" s="128"/>
      <c r="F30" s="128"/>
      <c r="G30" s="128"/>
      <c r="H30" s="128"/>
      <c r="I30" s="128"/>
      <c r="J30" s="128"/>
      <c r="L30" s="205"/>
    </row>
    <row r="31" spans="2:12" ht="18.75">
      <c r="B31" s="127" t="s">
        <v>58</v>
      </c>
      <c r="C31" s="128"/>
      <c r="D31" s="128"/>
      <c r="E31" s="128"/>
      <c r="F31" s="128"/>
      <c r="G31" s="128"/>
      <c r="H31" s="128"/>
      <c r="I31" s="128"/>
      <c r="J31" s="132" t="s">
        <v>57</v>
      </c>
      <c r="L31" s="205"/>
    </row>
    <row r="32" spans="2:12" ht="6.75" customHeight="1">
      <c r="B32" s="131"/>
      <c r="C32" s="128"/>
      <c r="D32" s="128"/>
      <c r="E32" s="128"/>
      <c r="F32" s="128"/>
      <c r="G32" s="128"/>
      <c r="H32" s="128"/>
      <c r="I32" s="128"/>
      <c r="J32" s="128"/>
      <c r="L32" s="205"/>
    </row>
    <row r="33" spans="2:12" ht="14.25">
      <c r="B33" s="126"/>
      <c r="L33" s="205"/>
    </row>
    <row r="34" spans="1:12" ht="14.25">
      <c r="A34" s="205"/>
      <c r="B34" s="206"/>
      <c r="C34" s="205"/>
      <c r="D34" s="205"/>
      <c r="E34" s="205"/>
      <c r="F34" s="205"/>
      <c r="G34" s="205"/>
      <c r="H34" s="205"/>
      <c r="I34" s="205"/>
      <c r="J34" s="205"/>
      <c r="K34" s="205"/>
      <c r="L34" s="205"/>
    </row>
  </sheetData>
  <sheetProtection password="C7E4" sheet="1" objects="1" scenarios="1"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="75" zoomScaleNormal="75" workbookViewId="0" topLeftCell="A1">
      <selection activeCell="F5" sqref="F5"/>
    </sheetView>
  </sheetViews>
  <sheetFormatPr defaultColWidth="11.421875" defaultRowHeight="12.75"/>
  <cols>
    <col min="1" max="1" width="2.57421875" style="76" customWidth="1"/>
    <col min="2" max="2" width="34.57421875" style="68" bestFit="1" customWidth="1"/>
    <col min="3" max="3" width="0.9921875" style="76" customWidth="1"/>
    <col min="4" max="4" width="9.7109375" style="76" customWidth="1"/>
    <col min="5" max="5" width="1.421875" style="76" customWidth="1"/>
    <col min="6" max="10" width="10.28125" style="76" bestFit="1" customWidth="1"/>
    <col min="11" max="11" width="14.00390625" style="76" customWidth="1"/>
    <col min="12" max="12" width="3.421875" style="76" customWidth="1"/>
    <col min="13" max="13" width="3.28125" style="76" customWidth="1"/>
    <col min="14" max="16384" width="11.421875" style="76" customWidth="1"/>
  </cols>
  <sheetData>
    <row r="1" ht="12">
      <c r="M1" s="205"/>
    </row>
    <row r="2" spans="2:13" ht="12">
      <c r="B2" s="134" t="s">
        <v>60</v>
      </c>
      <c r="D2" s="133" t="s">
        <v>59</v>
      </c>
      <c r="F2" s="123" t="str">
        <f>BALANCE!C6</f>
        <v>Año 1994</v>
      </c>
      <c r="G2" s="124" t="str">
        <f>BALANCE!D6</f>
        <v>Año 1995</v>
      </c>
      <c r="H2" s="124" t="str">
        <f>BALANCE!E6</f>
        <v>Año 1996</v>
      </c>
      <c r="I2" s="124" t="str">
        <f>BALANCE!F6</f>
        <v>Año 1997</v>
      </c>
      <c r="J2" s="124" t="str">
        <f>BALANCE!G6</f>
        <v>Año 1998</v>
      </c>
      <c r="K2" s="125" t="str">
        <f>BALANCE!H6</f>
        <v>Año 1999</v>
      </c>
      <c r="M2" s="205"/>
    </row>
    <row r="3" ht="5.25" customHeight="1" thickBot="1">
      <c r="M3" s="205"/>
    </row>
    <row r="4" spans="2:13" ht="22.5">
      <c r="B4" s="135" t="s">
        <v>33</v>
      </c>
      <c r="C4" s="136"/>
      <c r="D4" s="137">
        <v>0.0975</v>
      </c>
      <c r="E4" s="136"/>
      <c r="F4" s="138">
        <f>IF('CR'!C13/BALANCE!C11&lt;$D4,"M","")</f>
      </c>
      <c r="G4" s="139">
        <f>IF('CR'!D13/BALANCE!D11&lt;$D4,"M","")</f>
      </c>
      <c r="H4" s="140">
        <f>IF('CR'!E13/BALANCE!E11&lt;$D4,"M","")</f>
      </c>
      <c r="I4" s="139" t="str">
        <f>IF('CR'!F13/BALANCE!F11&lt;$D4,"M","")</f>
        <v>M</v>
      </c>
      <c r="J4" s="139" t="str">
        <f>IF('CR'!G13/BALANCE!G11&lt;$D4,"M","")</f>
        <v>M</v>
      </c>
      <c r="K4" s="140" t="str">
        <f>IF('CR'!H13/BALANCE!H11&lt;$D4,"M","")</f>
        <v>M</v>
      </c>
      <c r="M4" s="205"/>
    </row>
    <row r="5" spans="2:13" ht="23.25" thickBot="1">
      <c r="B5" s="141" t="s">
        <v>34</v>
      </c>
      <c r="C5" s="136"/>
      <c r="D5" s="142">
        <v>0.08</v>
      </c>
      <c r="E5" s="136"/>
      <c r="F5" s="143" t="str">
        <f>IF(ANÁLISIS!C9="SI","N",IF('CR'!C18/SUM(BALANCE!C14:C15)&lt;$D5,"M",""))</f>
        <v>M</v>
      </c>
      <c r="G5" s="144" t="str">
        <f>IF(ANÁLISIS!D9="SI","N",IF('CR'!D18/SUM(BALANCE!D14:D15)&lt;$D5,"M",""))</f>
        <v>M</v>
      </c>
      <c r="H5" s="145" t="str">
        <f>IF(ANÁLISIS!E9="SI","N",IF('CR'!E18/SUM(BALANCE!E14:E15)&lt;$D5,"M",""))</f>
        <v>M</v>
      </c>
      <c r="I5" s="144" t="str">
        <f>IF(ANÁLISIS!F9="SI","N",IF('CR'!F18/SUM(BALANCE!F14:F15)&lt;$D5,"M",""))</f>
        <v>M</v>
      </c>
      <c r="J5" s="144" t="str">
        <f>IF(ANÁLISIS!G9="SI","N",IF('CR'!G18/SUM(BALANCE!G14:G15)&lt;$D5,"M",""))</f>
        <v>M</v>
      </c>
      <c r="K5" s="145" t="str">
        <f>IF(ANÁLISIS!H9="SI","N",IF('CR'!H18/SUM(BALANCE!H14:H15)&lt;$D5,"M",""))</f>
        <v>N</v>
      </c>
      <c r="M5" s="205"/>
    </row>
    <row r="6" spans="2:13" ht="5.25" customHeight="1" thickBot="1">
      <c r="B6" s="146"/>
      <c r="C6" s="136"/>
      <c r="D6" s="147"/>
      <c r="E6" s="136"/>
      <c r="F6" s="148"/>
      <c r="G6" s="149"/>
      <c r="H6" s="149"/>
      <c r="I6" s="149"/>
      <c r="J6" s="149"/>
      <c r="K6" s="150"/>
      <c r="M6" s="205"/>
    </row>
    <row r="7" spans="2:13" ht="22.5">
      <c r="B7" s="151" t="s">
        <v>35</v>
      </c>
      <c r="C7" s="136"/>
      <c r="D7" s="152">
        <v>2.15</v>
      </c>
      <c r="E7" s="136"/>
      <c r="F7" s="153">
        <f>IF(SUM(BALANCE!C8:C10)/BALANCE!C17&lt;$D7,"M","")</f>
      </c>
      <c r="G7" s="154">
        <f>IF(SUM(BALANCE!D8:D10)/BALANCE!D17&lt;$D7,"M","")</f>
      </c>
      <c r="H7" s="155">
        <f>IF(SUM(BALANCE!E8:E10)/BALANCE!E17&lt;$D7,"M","")</f>
      </c>
      <c r="I7" s="154" t="str">
        <f>IF(SUM(BALANCE!F8:F10)/BALANCE!F17&lt;$D7,"M","")</f>
        <v>M</v>
      </c>
      <c r="J7" s="154" t="str">
        <f>IF(SUM(BALANCE!G8:G10)/BALANCE!G17&lt;$D7,"M","")</f>
        <v>M</v>
      </c>
      <c r="K7" s="155" t="str">
        <f>IF(SUM(BALANCE!H8:H10)/BALANCE!H17&lt;$D7,"M","")</f>
        <v>M</v>
      </c>
      <c r="M7" s="205"/>
    </row>
    <row r="8" spans="2:13" ht="23.25" thickBot="1">
      <c r="B8" s="156" t="s">
        <v>36</v>
      </c>
      <c r="C8" s="136"/>
      <c r="D8" s="152">
        <v>1.85</v>
      </c>
      <c r="E8" s="136"/>
      <c r="F8" s="153">
        <f>IF(SUM(BALANCE!C9:C10)/BALANCE!C17&lt;$D8,"M","")</f>
      </c>
      <c r="G8" s="154" t="str">
        <f>IF(SUM(BALANCE!D9:D10)/BALANCE!D17&lt;$D8,"M","")</f>
        <v>M</v>
      </c>
      <c r="H8" s="155" t="str">
        <f>IF(SUM(BALANCE!E9:E10)/BALANCE!E17&lt;$D8,"M","")</f>
        <v>M</v>
      </c>
      <c r="I8" s="154" t="str">
        <f>IF(SUM(BALANCE!F9:F10)/BALANCE!F17&lt;$D8,"M","")</f>
        <v>M</v>
      </c>
      <c r="J8" s="154" t="str">
        <f>IF(SUM(BALANCE!G9:G10)/BALANCE!G17&lt;$D8,"M","")</f>
        <v>M</v>
      </c>
      <c r="K8" s="155" t="str">
        <f>IF(SUM(BALANCE!H9:H10)/BALANCE!H17&lt;$D8,"M","")</f>
        <v>M</v>
      </c>
      <c r="M8" s="205"/>
    </row>
    <row r="9" spans="2:13" ht="5.25" customHeight="1" thickBot="1">
      <c r="B9" s="146"/>
      <c r="C9" s="136"/>
      <c r="D9" s="147"/>
      <c r="E9" s="136"/>
      <c r="F9" s="148"/>
      <c r="G9" s="149"/>
      <c r="H9" s="149"/>
      <c r="I9" s="149"/>
      <c r="J9" s="149"/>
      <c r="K9" s="150"/>
      <c r="M9" s="205"/>
    </row>
    <row r="10" spans="2:13" ht="22.5">
      <c r="B10" s="135" t="s">
        <v>61</v>
      </c>
      <c r="C10" s="136"/>
      <c r="D10" s="157">
        <v>0.58</v>
      </c>
      <c r="E10" s="136"/>
      <c r="F10" s="165">
        <f>IF(SUM(BALANCE!C8:C10)/BALANCE!C11&gt;$D10,"M","")</f>
      </c>
      <c r="G10" s="166">
        <f>IF(SUM(BALANCE!D8:D10)/BALANCE!D11&gt;$D10,"M","")</f>
      </c>
      <c r="H10" s="167">
        <f>IF(SUM(BALANCE!E8:E10)/BALANCE!E11&gt;$D10,"M","")</f>
      </c>
      <c r="I10" s="166">
        <f>IF(SUM(BALANCE!F8:F10)/BALANCE!F11&gt;$D10,"M","")</f>
      </c>
      <c r="J10" s="166">
        <f>IF(SUM(BALANCE!G8:G10)/BALANCE!G11&gt;$D10,"M","")</f>
      </c>
      <c r="K10" s="167">
        <f>IF(SUM(BALANCE!H8:H10)/BALANCE!H11&gt;$D10,"M","")</f>
      </c>
      <c r="M10" s="205"/>
    </row>
    <row r="11" spans="2:13" ht="23.25" thickBot="1">
      <c r="B11" s="141" t="s">
        <v>38</v>
      </c>
      <c r="C11" s="136"/>
      <c r="D11" s="158">
        <v>1</v>
      </c>
      <c r="E11" s="136"/>
      <c r="F11" s="168" t="str">
        <f>IF(ANÁLISIS!C8="SI","N",IF(SUM(BALANCE!C16:C17)/SUM(BALANCE!C14:C15)&lt;$D11,"M",""))</f>
        <v>M</v>
      </c>
      <c r="G11" s="169" t="str">
        <f>IF(ANÁLISIS!D8="SI","N",IF(SUM(BALANCE!D16:D17)/SUM(BALANCE!D14:D15)&lt;$D11,"M",""))</f>
        <v>M</v>
      </c>
      <c r="H11" s="170" t="str">
        <f>IF(ANÁLISIS!E8="SI","N",IF(SUM(BALANCE!E16:E17)/SUM(BALANCE!E14:E15)&lt;$D11,"M",""))</f>
        <v>M</v>
      </c>
      <c r="I11" s="169" t="str">
        <f>IF(ANÁLISIS!F8="SI","N",IF(SUM(BALANCE!F16:F17)/SUM(BALANCE!F14:F15)&lt;$D11,"M",""))</f>
        <v>M</v>
      </c>
      <c r="J11" s="169">
        <f>IF(ANÁLISIS!G8="SI","N",IF(SUM(BALANCE!G16:G17)/SUM(BALANCE!G14:G15)&lt;$D11,"M",""))</f>
      </c>
      <c r="K11" s="170" t="str">
        <f>IF(ANÁLISIS!H8="SI","N",IF(SUM(BALANCE!H16:H17)/SUM(BALANCE!H14:H15)&lt;$D11,"M",""))</f>
        <v>N</v>
      </c>
      <c r="M11" s="205"/>
    </row>
    <row r="12" spans="2:13" ht="5.25" customHeight="1" thickBot="1">
      <c r="B12" s="146"/>
      <c r="C12" s="136"/>
      <c r="D12" s="147"/>
      <c r="E12" s="136"/>
      <c r="F12" s="148"/>
      <c r="G12" s="149"/>
      <c r="H12" s="149"/>
      <c r="I12" s="149"/>
      <c r="J12" s="149"/>
      <c r="K12" s="150"/>
      <c r="M12" s="205"/>
    </row>
    <row r="13" spans="2:13" ht="22.5">
      <c r="B13" s="159" t="s">
        <v>39</v>
      </c>
      <c r="C13" s="136"/>
      <c r="D13" s="160">
        <v>1.4</v>
      </c>
      <c r="E13" s="136"/>
      <c r="F13" s="171">
        <f>IF(SUM(BALANCE!C14:C15)/BALANCE!C7&lt;$D13,"M","")</f>
      </c>
      <c r="G13" s="172">
        <f>IF(SUM(BALANCE!D14:D15)/BALANCE!D7&lt;$D13,"M","")</f>
      </c>
      <c r="H13" s="173">
        <f>IF(SUM(BALANCE!E14:E15)/BALANCE!E7&lt;$D13,"M","")</f>
      </c>
      <c r="I13" s="172" t="str">
        <f>IF(SUM(BALANCE!F14:F15)/BALANCE!F7&lt;$D13,"M","")</f>
        <v>M</v>
      </c>
      <c r="J13" s="172" t="str">
        <f>IF(SUM(BALANCE!G14:G15)/BALANCE!G7&lt;$D13,"M","")</f>
        <v>M</v>
      </c>
      <c r="K13" s="173" t="str">
        <f>IF(SUM(BALANCE!H14:H15)/BALANCE!H7&lt;$D13,"M","")</f>
        <v>M</v>
      </c>
      <c r="M13" s="205"/>
    </row>
    <row r="14" spans="2:13" ht="23.25" thickBot="1">
      <c r="B14" s="161" t="s">
        <v>40</v>
      </c>
      <c r="C14" s="136"/>
      <c r="D14" s="160">
        <v>1.7</v>
      </c>
      <c r="E14" s="136"/>
      <c r="F14" s="171">
        <f>IF('CR'!C13/'CR'!C15&lt;$D14,"M","")</f>
      </c>
      <c r="G14" s="172">
        <f>IF('CR'!D13/'CR'!D15&lt;$D14,"M","")</f>
      </c>
      <c r="H14" s="173" t="str">
        <f>IF('CR'!E13/'CR'!E15&lt;$D14,"M","")</f>
        <v>M</v>
      </c>
      <c r="I14" s="172" t="str">
        <f>IF('CR'!F13/'CR'!F15&lt;$D14,"M","")</f>
        <v>M</v>
      </c>
      <c r="J14" s="172" t="str">
        <f>IF('CR'!G13/'CR'!G15&lt;$D14,"M","")</f>
        <v>M</v>
      </c>
      <c r="K14" s="173" t="str">
        <f>IF('CR'!H13/'CR'!H15&lt;$D14,"M","")</f>
        <v>M</v>
      </c>
      <c r="M14" s="205"/>
    </row>
    <row r="15" spans="2:13" ht="5.25" customHeight="1" thickBot="1">
      <c r="B15" s="146"/>
      <c r="C15" s="136"/>
      <c r="D15" s="147"/>
      <c r="E15" s="136"/>
      <c r="F15" s="148"/>
      <c r="G15" s="149"/>
      <c r="H15" s="149"/>
      <c r="I15" s="149"/>
      <c r="J15" s="149"/>
      <c r="K15" s="150"/>
      <c r="M15" s="205"/>
    </row>
    <row r="16" spans="2:13" ht="22.5">
      <c r="B16" s="135" t="s">
        <v>41</v>
      </c>
      <c r="C16" s="136"/>
      <c r="D16" s="157">
        <v>0.1</v>
      </c>
      <c r="E16" s="136"/>
      <c r="F16" s="165" t="str">
        <f>IF('CR'!C13/AVERAGE(BALANCE!$C11:$H11)&lt;$D16,"M","")</f>
        <v>M</v>
      </c>
      <c r="G16" s="166">
        <f>IF('CR'!D13/AVERAGE(BALANCE!$C11:$H11)&lt;$D16,"M","")</f>
      </c>
      <c r="H16" s="167">
        <f>IF('CR'!E13/AVERAGE(BALANCE!$C11:$H11)&lt;$D16,"M","")</f>
      </c>
      <c r="I16" s="166" t="str">
        <f>IF('CR'!F13/AVERAGE(BALANCE!$C11:$H11)&lt;$D16,"M","")</f>
        <v>M</v>
      </c>
      <c r="J16" s="166" t="str">
        <f>IF('CR'!G13/AVERAGE(BALANCE!$C11:$H11)&lt;$D16,"M","")</f>
        <v>M</v>
      </c>
      <c r="K16" s="167" t="str">
        <f>IF('CR'!H13/AVERAGE(BALANCE!$C11:$H11)&lt;$D16,"M","")</f>
        <v>M</v>
      </c>
      <c r="M16" s="205"/>
    </row>
    <row r="17" spans="2:13" ht="22.5">
      <c r="B17" s="162" t="s">
        <v>42</v>
      </c>
      <c r="C17" s="136"/>
      <c r="D17" s="163">
        <v>0.65</v>
      </c>
      <c r="E17" s="136"/>
      <c r="F17" s="153" t="str">
        <f>IF(('CR'!C7-'CR'!C12)/AVERAGE(BALANCE!$C11:$H11)&lt;$D17,"M","")</f>
        <v>M</v>
      </c>
      <c r="G17" s="154">
        <f>IF(('CR'!D7-'CR'!D12)/AVERAGE(BALANCE!$C11:$H11)&lt;$D17,"M","")</f>
      </c>
      <c r="H17" s="155">
        <f>IF(('CR'!E7-'CR'!E12)/AVERAGE(BALANCE!$C11:$H11)&lt;$D17,"M","")</f>
      </c>
      <c r="I17" s="154" t="str">
        <f>IF(('CR'!F7-'CR'!F12)/AVERAGE(BALANCE!$C11:$H11)&lt;$D17,"M","")</f>
        <v>M</v>
      </c>
      <c r="J17" s="154" t="str">
        <f>IF(('CR'!G7-'CR'!G12)/AVERAGE(BALANCE!$C11:$H11)&lt;$D17,"M","")</f>
        <v>M</v>
      </c>
      <c r="K17" s="155" t="str">
        <f>IF(('CR'!H7-'CR'!H12)/AVERAGE(BALANCE!$C11:$H11)&lt;$D17,"M","")</f>
        <v>M</v>
      </c>
      <c r="M17" s="205"/>
    </row>
    <row r="18" spans="2:13" ht="22.5">
      <c r="B18" s="162" t="s">
        <v>43</v>
      </c>
      <c r="C18" s="136"/>
      <c r="D18" s="163">
        <v>1.1</v>
      </c>
      <c r="E18" s="136"/>
      <c r="F18" s="153" t="str">
        <f>IF(('CR'!C7-'CR'!C12)/AVERAGE(BALANCE!$C7:$H7)&lt;$D18,"M","")</f>
        <v>M</v>
      </c>
      <c r="G18" s="154">
        <f>IF(('CR'!D7-'CR'!D12)/AVERAGE(BALANCE!$C7:$H7)&lt;$D18,"M","")</f>
      </c>
      <c r="H18" s="155">
        <f>IF(('CR'!E7-'CR'!E12)/AVERAGE(BALANCE!$C7:$H7)&lt;$D18,"M","")</f>
      </c>
      <c r="I18" s="154" t="str">
        <f>IF(('CR'!F7-'CR'!F12)/AVERAGE(BALANCE!$C7:$H7)&lt;$D18,"M","")</f>
        <v>M</v>
      </c>
      <c r="J18" s="154" t="str">
        <f>IF(('CR'!G7-'CR'!G12)/AVERAGE(BALANCE!$C7:$H7)&lt;$D18,"M","")</f>
        <v>M</v>
      </c>
      <c r="K18" s="155" t="str">
        <f>IF(('CR'!H7-'CR'!H12)/AVERAGE(BALANCE!$C7:$H7)&lt;$D18,"M","")</f>
        <v>M</v>
      </c>
      <c r="M18" s="205"/>
    </row>
    <row r="19" spans="2:13" ht="23.25" thickBot="1">
      <c r="B19" s="141" t="s">
        <v>44</v>
      </c>
      <c r="C19" s="136"/>
      <c r="D19" s="164">
        <v>1.15</v>
      </c>
      <c r="E19" s="136"/>
      <c r="F19" s="174" t="str">
        <f>IF(('CR'!C7-'CR'!C12)/AVERAGE(EVOLUCIÓN!$C3:$H3)&lt;$D19,"M","")</f>
        <v>M</v>
      </c>
      <c r="G19" s="175">
        <f>IF(('CR'!D7-'CR'!D12)/AVERAGE(EVOLUCIÓN!$C3:$H3)&lt;$D19,"M","")</f>
      </c>
      <c r="H19" s="176">
        <f>IF(('CR'!E7-'CR'!E12)/AVERAGE(EVOLUCIÓN!$C3:$H3)&lt;$D19,"M","")</f>
      </c>
      <c r="I19" s="175">
        <f>IF(('CR'!F7-'CR'!F12)/AVERAGE(EVOLUCIÓN!$C3:$H3)&lt;$D19,"M","")</f>
      </c>
      <c r="J19" s="175" t="str">
        <f>IF(('CR'!G7-'CR'!G12)/AVERAGE(EVOLUCIÓN!$C3:$H3)&lt;$D19,"M","")</f>
        <v>M</v>
      </c>
      <c r="K19" s="176" t="str">
        <f>IF(('CR'!H7-'CR'!H12)/AVERAGE(EVOLUCIÓN!$C3:$H3)&lt;$D19,"M","")</f>
        <v>M</v>
      </c>
      <c r="M19" s="205"/>
    </row>
    <row r="20" ht="6" customHeight="1">
      <c r="M20" s="205"/>
    </row>
    <row r="21" ht="12">
      <c r="M21" s="205"/>
    </row>
    <row r="22" spans="2:13" ht="12">
      <c r="B22" s="134" t="s">
        <v>62</v>
      </c>
      <c r="D22" s="133" t="s">
        <v>59</v>
      </c>
      <c r="F22" s="123" t="str">
        <f aca="true" t="shared" si="0" ref="F22:K22">F2</f>
        <v>Año 1994</v>
      </c>
      <c r="G22" s="124" t="str">
        <f t="shared" si="0"/>
        <v>Año 1995</v>
      </c>
      <c r="H22" s="124" t="str">
        <f t="shared" si="0"/>
        <v>Año 1996</v>
      </c>
      <c r="I22" s="124" t="str">
        <f t="shared" si="0"/>
        <v>Año 1997</v>
      </c>
      <c r="J22" s="124" t="str">
        <f t="shared" si="0"/>
        <v>Año 1998</v>
      </c>
      <c r="K22" s="125" t="str">
        <f t="shared" si="0"/>
        <v>Año 1999</v>
      </c>
      <c r="M22" s="205"/>
    </row>
    <row r="23" ht="6" customHeight="1" thickBot="1">
      <c r="M23" s="205"/>
    </row>
    <row r="24" spans="2:13" ht="14.25">
      <c r="B24" s="135" t="s">
        <v>33</v>
      </c>
      <c r="C24" s="136"/>
      <c r="D24" s="137">
        <f>D4</f>
        <v>0.0975</v>
      </c>
      <c r="E24" s="136"/>
      <c r="F24" s="178">
        <f>IF(F4="","",$D4-RATIOS!D4)</f>
      </c>
      <c r="G24" s="179">
        <f>IF(G4="","",$D4-RATIOS!E4)</f>
      </c>
      <c r="H24" s="180">
        <f>IF(H4="","",$D4-RATIOS!F4)</f>
      </c>
      <c r="I24" s="179">
        <f>IF(I4="","",$D4-RATIOS!G4)</f>
        <v>0.031140000000000043</v>
      </c>
      <c r="J24" s="179">
        <f>IF(J4="","",$D4-RATIOS!H4)</f>
        <v>0.0513</v>
      </c>
      <c r="K24" s="180">
        <f>IF(K4="","",$D4-RATIOS!I4)</f>
        <v>0.08899367088607596</v>
      </c>
      <c r="M24" s="205"/>
    </row>
    <row r="25" spans="2:13" ht="15" thickBot="1">
      <c r="B25" s="141" t="s">
        <v>34</v>
      </c>
      <c r="C25" s="136"/>
      <c r="D25" s="142">
        <f aca="true" t="shared" si="1" ref="D25:D39">D5</f>
        <v>0.08</v>
      </c>
      <c r="E25" s="136"/>
      <c r="F25" s="196">
        <f>IF(F5="","",IF(F5="N",RATIOS!D5,$D5-RATIOS!D5))</f>
        <v>0.0037422680412371595</v>
      </c>
      <c r="G25" s="197">
        <f>IF(G5="","",IF(G5="N",RATIOS!E5,$D5-RATIOS!E5))</f>
        <v>9.946902654860146E-05</v>
      </c>
      <c r="H25" s="198">
        <f>IF(H5="","",IF(H5="N",RATIOS!F5,$D5-RATIOS!F5))</f>
        <v>0.019033070866141803</v>
      </c>
      <c r="I25" s="197">
        <f>IF(I5="","",IF(I5="N",RATIOS!G5,$D5-RATIOS!G5))</f>
        <v>0.056080000000000046</v>
      </c>
      <c r="J25" s="197">
        <f>IF(J5="","",IF(J5="N",RATIOS!H5,$D5-RATIOS!H5))</f>
        <v>0.11442127659574466</v>
      </c>
      <c r="K25" s="198" t="str">
        <f>IF(K5="","",IF(K5="N",RATIOS!I5,$D5-RATIOS!I5))</f>
        <v>QUIEBRA</v>
      </c>
      <c r="M25" s="205"/>
    </row>
    <row r="26" spans="2:13" ht="6" customHeight="1" thickBot="1">
      <c r="B26" s="146"/>
      <c r="C26" s="136"/>
      <c r="D26" s="177">
        <f t="shared" si="1"/>
        <v>0</v>
      </c>
      <c r="E26" s="136"/>
      <c r="F26" s="181"/>
      <c r="G26" s="182"/>
      <c r="H26" s="182"/>
      <c r="I26" s="182"/>
      <c r="J26" s="182"/>
      <c r="K26" s="183"/>
      <c r="M26" s="205"/>
    </row>
    <row r="27" spans="2:13" ht="14.25">
      <c r="B27" s="151" t="s">
        <v>35</v>
      </c>
      <c r="C27" s="136"/>
      <c r="D27" s="152">
        <f t="shared" si="1"/>
        <v>2.15</v>
      </c>
      <c r="E27" s="136"/>
      <c r="F27" s="199">
        <f>IF(F7="","",$D7-RATIOS!D7)</f>
      </c>
      <c r="G27" s="200">
        <f>IF(G7="","",$D7-RATIOS!E7)</f>
      </c>
      <c r="H27" s="201">
        <f>IF(H7="","",$D7-RATIOS!F7)</f>
      </c>
      <c r="I27" s="200">
        <f>IF(I7="","",$D7-RATIOS!G7)</f>
        <v>0.7653846153846153</v>
      </c>
      <c r="J27" s="200">
        <f>IF(J7="","",$D7-RATIOS!H7)</f>
        <v>1.1166666666666665</v>
      </c>
      <c r="K27" s="201">
        <f>IF(K7="","",$D7-RATIOS!I7)</f>
        <v>1.5598360655737704</v>
      </c>
      <c r="M27" s="205"/>
    </row>
    <row r="28" spans="2:13" ht="15" thickBot="1">
      <c r="B28" s="156" t="s">
        <v>36</v>
      </c>
      <c r="C28" s="136"/>
      <c r="D28" s="152">
        <f t="shared" si="1"/>
        <v>1.85</v>
      </c>
      <c r="E28" s="136"/>
      <c r="F28" s="199">
        <f>IF(F8="","",$D8-RATIOS!D8)</f>
      </c>
      <c r="G28" s="200">
        <f>IF(G8="","",$D8-RATIOS!E8)</f>
        <v>0.7323529411764707</v>
      </c>
      <c r="H28" s="201">
        <f>IF(H8="","",$D8-RATIOS!F8)</f>
        <v>1.0833333333333335</v>
      </c>
      <c r="I28" s="200">
        <f>IF(I8="","",$D8-RATIOS!G8)</f>
        <v>1.373076923076923</v>
      </c>
      <c r="J28" s="200">
        <f>IF(J8="","",$D8-RATIOS!H8)</f>
        <v>1.4833333333333334</v>
      </c>
      <c r="K28" s="201">
        <f>IF(K8="","",$D8-RATIOS!I8)</f>
        <v>1.571311475409836</v>
      </c>
      <c r="M28" s="205"/>
    </row>
    <row r="29" spans="2:13" ht="6" customHeight="1" thickBot="1">
      <c r="B29" s="146"/>
      <c r="C29" s="136"/>
      <c r="D29" s="177">
        <f t="shared" si="1"/>
        <v>0</v>
      </c>
      <c r="E29" s="136"/>
      <c r="F29" s="181"/>
      <c r="G29" s="182"/>
      <c r="H29" s="182"/>
      <c r="I29" s="182"/>
      <c r="J29" s="182"/>
      <c r="K29" s="183"/>
      <c r="M29" s="205"/>
    </row>
    <row r="30" spans="2:13" ht="14.25">
      <c r="B30" s="135" t="s">
        <v>61</v>
      </c>
      <c r="C30" s="136"/>
      <c r="D30" s="157">
        <f t="shared" si="1"/>
        <v>0.58</v>
      </c>
      <c r="E30" s="136"/>
      <c r="F30" s="187">
        <f>IF(F10="","",$D10-RATIOS!D11)</f>
      </c>
      <c r="G30" s="188">
        <f>IF(G10="","",$D10-RATIOS!E11)</f>
      </c>
      <c r="H30" s="189">
        <f>IF(H10="","",$D10-RATIOS!F11)</f>
      </c>
      <c r="I30" s="188">
        <f>IF(I10="","",$D10-RATIOS!G11)</f>
      </c>
      <c r="J30" s="188">
        <f>IF(J10="","",$D10-RATIOS!H11)</f>
      </c>
      <c r="K30" s="189">
        <f>IF(K10="","",$D10-RATIOS!I11)</f>
      </c>
      <c r="M30" s="205"/>
    </row>
    <row r="31" spans="2:13" ht="15" thickBot="1">
      <c r="B31" s="141" t="s">
        <v>38</v>
      </c>
      <c r="C31" s="136"/>
      <c r="D31" s="158">
        <f t="shared" si="1"/>
        <v>1</v>
      </c>
      <c r="E31" s="136"/>
      <c r="F31" s="199">
        <f>IF(F11="N","SUSP. PAGOS",IF(F11="","",$D11-RATIOS!D12))</f>
        <v>0.9278350515463918</v>
      </c>
      <c r="G31" s="200">
        <f>IF(G11="N","SUSP. PAGOS",IF(G11="","",$D11-RATIOS!E12))</f>
        <v>0.8141592920353982</v>
      </c>
      <c r="H31" s="201">
        <f>IF(H11="N","SUSP. PAGOS",IF(H11="","",$D11-RATIOS!F12))</f>
        <v>0.6614173228346456</v>
      </c>
      <c r="I31" s="200">
        <f>IF(I11="N","SUSP. PAGOS",IF(I11="","",$D11-RATIOS!G12))</f>
        <v>0.18181818181818177</v>
      </c>
      <c r="J31" s="200">
        <f>IF(J11="N","SUSP. PAGOS",IF(J11="","",$D11-RATIOS!H12))</f>
      </c>
      <c r="K31" s="201" t="str">
        <f>IF(K11="N","SUSP. PAGOS",IF(K11="","",$D11-RATIOS!I12))</f>
        <v>SUSP. PAGOS</v>
      </c>
      <c r="M31" s="205"/>
    </row>
    <row r="32" spans="2:13" ht="6" customHeight="1" thickBot="1">
      <c r="B32" s="146"/>
      <c r="C32" s="136"/>
      <c r="D32" s="177">
        <f t="shared" si="1"/>
        <v>0</v>
      </c>
      <c r="E32" s="136"/>
      <c r="F32" s="181"/>
      <c r="G32" s="182"/>
      <c r="H32" s="182"/>
      <c r="I32" s="182"/>
      <c r="J32" s="182"/>
      <c r="K32" s="183"/>
      <c r="M32" s="205"/>
    </row>
    <row r="33" spans="2:13" ht="14.25">
      <c r="B33" s="159" t="s">
        <v>39</v>
      </c>
      <c r="C33" s="136"/>
      <c r="D33" s="160">
        <f t="shared" si="1"/>
        <v>1.4</v>
      </c>
      <c r="E33" s="136"/>
      <c r="F33" s="190">
        <f>IF(F13="","",$D13-RATIOS!D14)</f>
      </c>
      <c r="G33" s="191">
        <f>IF(G13="","",$D13-RATIOS!E14)</f>
      </c>
      <c r="H33" s="192">
        <f>IF(H13="","",$D13-RATIOS!F14)</f>
      </c>
      <c r="I33" s="191">
        <f>IF(I13="","",$D13-RATIOS!G14)</f>
        <v>0.3999999999999999</v>
      </c>
      <c r="J33" s="191">
        <f>IF(J13="","",$D13-RATIOS!H14)</f>
        <v>0.6769230769230768</v>
      </c>
      <c r="K33" s="192">
        <f>IF(K13="","",$D13-RATIOS!I14)</f>
        <v>1.7953488372093023</v>
      </c>
      <c r="M33" s="205"/>
    </row>
    <row r="34" spans="2:13" ht="15" thickBot="1">
      <c r="B34" s="161" t="s">
        <v>40</v>
      </c>
      <c r="C34" s="136"/>
      <c r="D34" s="160">
        <f t="shared" si="1"/>
        <v>1.7</v>
      </c>
      <c r="E34" s="136"/>
      <c r="F34" s="190">
        <f>IF(F14="","",$D14-RATIOS!D15)</f>
      </c>
      <c r="G34" s="191">
        <f>IF(G14="","",$D14-RATIOS!E15)</f>
      </c>
      <c r="H34" s="192">
        <f>IF(H14="","",$D14-RATIOS!F15)</f>
        <v>0.027072538860104522</v>
      </c>
      <c r="I34" s="191">
        <f>IF(I14="","",$D14-RATIOS!G15)</f>
        <v>0.6444886273262294</v>
      </c>
      <c r="J34" s="191">
        <f>IF(J14="","",$D14-RATIOS!H15)</f>
        <v>1.0911873713109128</v>
      </c>
      <c r="K34" s="192">
        <f>IF(K14="","",$D14-RATIOS!I15)</f>
        <v>1.6682299546142207</v>
      </c>
      <c r="M34" s="205"/>
    </row>
    <row r="35" spans="2:13" ht="6" customHeight="1" thickBot="1">
      <c r="B35" s="146"/>
      <c r="C35" s="136"/>
      <c r="D35" s="177">
        <f t="shared" si="1"/>
        <v>0</v>
      </c>
      <c r="E35" s="136"/>
      <c r="F35" s="181"/>
      <c r="G35" s="182"/>
      <c r="H35" s="182"/>
      <c r="I35" s="182"/>
      <c r="J35" s="182"/>
      <c r="K35" s="183"/>
      <c r="M35" s="205"/>
    </row>
    <row r="36" spans="2:13" ht="14.25">
      <c r="B36" s="135" t="s">
        <v>41</v>
      </c>
      <c r="C36" s="136"/>
      <c r="D36" s="157">
        <f t="shared" si="1"/>
        <v>0.1</v>
      </c>
      <c r="E36" s="136"/>
      <c r="F36" s="187">
        <f>IF(F16="","",$D16-RATIOS!D17)</f>
        <v>0.02316723549488059</v>
      </c>
      <c r="G36" s="188">
        <f>IF(G16="","",$D16-RATIOS!E17)</f>
      </c>
      <c r="H36" s="189">
        <f>IF(H16="","",$D16-RATIOS!F17)</f>
      </c>
      <c r="I36" s="188">
        <f>IF(I16="","",$D16-RATIOS!G17)</f>
        <v>0.00940614334470996</v>
      </c>
      <c r="J36" s="188">
        <f>IF(J16="","",$D16-RATIOS!H17)</f>
        <v>0.03945119453924915</v>
      </c>
      <c r="K36" s="189">
        <f>IF(K16="","",$D16-RATIOS!I17)</f>
        <v>0.09541296928327646</v>
      </c>
      <c r="M36" s="205"/>
    </row>
    <row r="37" spans="2:13" ht="14.25">
      <c r="B37" s="162" t="s">
        <v>42</v>
      </c>
      <c r="C37" s="136"/>
      <c r="D37" s="163">
        <f t="shared" si="1"/>
        <v>0.65</v>
      </c>
      <c r="E37" s="136"/>
      <c r="F37" s="184">
        <f>IF(F17="","",$D17-RATIOS!D18)</f>
        <v>0.19357679180887377</v>
      </c>
      <c r="G37" s="185">
        <f>IF(G17="","",$D17-RATIOS!E18)</f>
      </c>
      <c r="H37" s="186">
        <f>IF(H17="","",$D17-RATIOS!F18)</f>
      </c>
      <c r="I37" s="185">
        <f>IF(I17="","",$D17-RATIOS!G18)</f>
        <v>0.11182935153583617</v>
      </c>
      <c r="J37" s="185">
        <f>IF(J17="","",$D17-RATIOS!H18)</f>
        <v>0.29031126279863484</v>
      </c>
      <c r="K37" s="186">
        <f>IF(K17="","",$D17-RATIOS!I18)</f>
        <v>0.6227508532423208</v>
      </c>
      <c r="M37" s="205"/>
    </row>
    <row r="38" spans="2:13" ht="14.25">
      <c r="B38" s="162" t="s">
        <v>43</v>
      </c>
      <c r="C38" s="136"/>
      <c r="D38" s="163">
        <f t="shared" si="1"/>
        <v>1.1</v>
      </c>
      <c r="E38" s="136"/>
      <c r="F38" s="184">
        <f>IF(F18="","",$D18-RATIOS!D19)</f>
        <v>0.2862150101419879</v>
      </c>
      <c r="G38" s="185">
        <f>IF(G18="","",$D18-RATIOS!E19)</f>
      </c>
      <c r="H38" s="186">
        <f>IF(H18="","",$D18-RATIOS!F19)</f>
      </c>
      <c r="I38" s="185">
        <f>IF(I18="","",$D18-RATIOS!G19)</f>
        <v>0.14046247464503048</v>
      </c>
      <c r="J38" s="185">
        <f>IF(J18="","",$D18-RATIOS!H19)</f>
        <v>0.4586888438133875</v>
      </c>
      <c r="K38" s="186">
        <f>IF(K18="","",$D18-RATIOS!I19)</f>
        <v>1.0514158215010143</v>
      </c>
      <c r="M38" s="205"/>
    </row>
    <row r="39" spans="2:13" ht="15" thickBot="1">
      <c r="B39" s="141" t="s">
        <v>44</v>
      </c>
      <c r="C39" s="136"/>
      <c r="D39" s="164">
        <f t="shared" si="1"/>
        <v>1.15</v>
      </c>
      <c r="E39" s="136"/>
      <c r="F39" s="193">
        <f>IF(F19="","",$D19-RATIOS!D20)</f>
        <v>0.1106321243523316</v>
      </c>
      <c r="G39" s="194">
        <f>IF(G19="","",$D19-RATIOS!E20)</f>
      </c>
      <c r="H39" s="195">
        <f>IF(H19="","",$D19-RATIOS!F20)</f>
      </c>
      <c r="I39" s="194">
        <f>IF(I19="","",$D19-RATIOS!G20)</f>
      </c>
      <c r="J39" s="194">
        <f>IF(J19="","",$D19-RATIOS!H20)</f>
        <v>0.33091606217616587</v>
      </c>
      <c r="K39" s="195">
        <f>IF(K19="","",$D19-RATIOS!I20)</f>
        <v>1.0879481865284972</v>
      </c>
      <c r="M39" s="205"/>
    </row>
    <row r="40" ht="12">
      <c r="M40" s="205"/>
    </row>
    <row r="41" spans="1:13" ht="12">
      <c r="A41" s="205"/>
      <c r="B41" s="207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</row>
  </sheetData>
  <sheetProtection password="C7E4" sheet="1" objects="1" scenario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U.Z.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LOPEZ</dc:creator>
  <cp:keywords/>
  <dc:description/>
  <cp:lastModifiedBy>alf</cp:lastModifiedBy>
  <dcterms:created xsi:type="dcterms:W3CDTF">1998-02-08T21:54:35Z</dcterms:created>
  <dcterms:modified xsi:type="dcterms:W3CDTF">2000-12-12T16:05:24Z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