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10" windowHeight="7095" activeTab="0"/>
  </bookViews>
  <sheets>
    <sheet name="VF" sheetId="1" r:id="rId1"/>
    <sheet name="VA" sheetId="2" r:id="rId2"/>
    <sheet name="NPER" sheetId="3" r:id="rId3"/>
    <sheet name="TASA" sheetId="4" r:id="rId4"/>
    <sheet name="PAGO" sheetId="5" r:id="rId5"/>
    <sheet name="Perpetua" sheetId="6" r:id="rId6"/>
    <sheet name="VNA" sheetId="7" r:id="rId7"/>
    <sheet name="VNA.NO.PER" sheetId="8" r:id="rId8"/>
    <sheet name="INT.EFECTIVO" sheetId="9" r:id="rId9"/>
    <sheet name="Constitucion" sheetId="10" r:id="rId10"/>
  </sheets>
  <definedNames/>
  <calcPr fullCalcOnLoad="1"/>
</workbook>
</file>

<file path=xl/sharedStrings.xml><?xml version="1.0" encoding="utf-8"?>
<sst xmlns="http://schemas.openxmlformats.org/spreadsheetml/2006/main" count="79" uniqueCount="65">
  <si>
    <t>i</t>
  </si>
  <si>
    <t>n</t>
  </si>
  <si>
    <t>=VF(10%;4;-1000)</t>
  </si>
  <si>
    <r>
      <t>=VA(tasa;nper;</t>
    </r>
    <r>
      <rPr>
        <b/>
        <sz val="20"/>
        <color indexed="8"/>
        <rFont val="Arial"/>
        <family val="2"/>
      </rPr>
      <t>pago;</t>
    </r>
    <r>
      <rPr>
        <b/>
        <strike/>
        <sz val="20"/>
        <color indexed="8"/>
        <rFont val="Arial"/>
        <family val="2"/>
      </rPr>
      <t>vf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)</t>
    </r>
  </si>
  <si>
    <t>=VA(10%;4;-1000)</t>
  </si>
  <si>
    <t>VA</t>
  </si>
  <si>
    <r>
      <t>(1+i)</t>
    </r>
    <r>
      <rPr>
        <b/>
        <vertAlign val="superscript"/>
        <sz val="20"/>
        <color indexed="62"/>
        <rFont val="Arial"/>
        <family val="2"/>
      </rPr>
      <t>-n</t>
    </r>
  </si>
  <si>
    <t>2200€ el segundo, 500€ el tercero y 2000€ el cuarto. Al 10%</t>
  </si>
  <si>
    <t>El valor actual de una renta de 1000€ el primer año,</t>
  </si>
  <si>
    <t>=VNA(tasa;valor1;valor2;valor3;valor4)</t>
  </si>
  <si>
    <t>=VNA(10%;1000;2200;500;2000)</t>
  </si>
  <si>
    <t>Al 10%</t>
  </si>
  <si>
    <t>=VNA.NO.PER(10%;B9:E9;B8:E8)</t>
  </si>
  <si>
    <t>=VNA.NO.PER(tasa;valores;fechas)</t>
  </si>
  <si>
    <t>Año</t>
  </si>
  <si>
    <t>Fondo de 4 años, con 4 aportaciones distintas a principio de año.</t>
  </si>
  <si>
    <t>Aportación</t>
  </si>
  <si>
    <t>Intereses</t>
  </si>
  <si>
    <t>Incremento</t>
  </si>
  <si>
    <t>Capital Final</t>
  </si>
  <si>
    <t>Calcular el número de periodos de una renta de cuantía 1000</t>
  </si>
  <si>
    <r>
      <t>=NPER(tasa,</t>
    </r>
    <r>
      <rPr>
        <b/>
        <sz val="20"/>
        <color indexed="8"/>
        <rFont val="Arial"/>
        <family val="2"/>
      </rPr>
      <t>pago,</t>
    </r>
    <r>
      <rPr>
        <b/>
        <strike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, vf, tipo )</t>
    </r>
  </si>
  <si>
    <t>El valor final es 4641€, al 10% anual</t>
  </si>
  <si>
    <t>=NPER(10%;-1000;;4641)</t>
  </si>
  <si>
    <t>Calcular la tasa de una renta de cuantía 1000</t>
  </si>
  <si>
    <t>El valor final es 4641€ y 4 periodos</t>
  </si>
  <si>
    <t>=TASA(4;-1000;;4641)</t>
  </si>
  <si>
    <r>
      <t>=TASA(nper;</t>
    </r>
    <r>
      <rPr>
        <b/>
        <sz val="20"/>
        <color indexed="8"/>
        <rFont val="Arial"/>
        <family val="2"/>
      </rPr>
      <t>pago;</t>
    </r>
    <r>
      <rPr>
        <b/>
        <strike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;vf;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estimar</t>
    </r>
    <r>
      <rPr>
        <b/>
        <sz val="20"/>
        <color indexed="8"/>
        <rFont val="Arial"/>
        <family val="2"/>
      </rPr>
      <t>)</t>
    </r>
  </si>
  <si>
    <t>Al 10% durante 4 años</t>
  </si>
  <si>
    <t>El tipo de interés varía cada año. Es prepagable.</t>
  </si>
  <si>
    <t xml:space="preserve">¿Cuál es el valor final? </t>
  </si>
  <si>
    <t>De una renta de 1000€</t>
  </si>
  <si>
    <t>¿Cuál es el valor actual?</t>
  </si>
  <si>
    <t>Tasa nominal</t>
  </si>
  <si>
    <t>Periodos</t>
  </si>
  <si>
    <t>Tasa mensual</t>
  </si>
  <si>
    <t>Con fórmula</t>
  </si>
  <si>
    <t>Con función</t>
  </si>
  <si>
    <t>Dada una tasa mensual ¿cuál es la tasa anual efectiva?</t>
  </si>
  <si>
    <t>Tasa anual efectiva</t>
  </si>
  <si>
    <t>=INT.EFECTIVO(C5;C4)</t>
  </si>
  <si>
    <t>=C3*C4</t>
  </si>
  <si>
    <t>El valor actual de una renta de 1€, al 10% durante 1, 5, 10, 100 y 1.000 años</t>
  </si>
  <si>
    <t>año 1</t>
  </si>
  <si>
    <t>año 2</t>
  </si>
  <si>
    <t>año 3</t>
  </si>
  <si>
    <t>año 4</t>
  </si>
  <si>
    <t>Son 4 periodos y al 10%</t>
  </si>
  <si>
    <t>=(1+1%)^12-1</t>
  </si>
  <si>
    <t>Calcular la cuantía de una renta cuyo valor actual es 3169,86</t>
  </si>
  <si>
    <t>=PAGO(10%;4;3169.86)</t>
  </si>
  <si>
    <r>
      <t>=PAGO(tasa;nper;</t>
    </r>
    <r>
      <rPr>
        <b/>
        <sz val="20"/>
        <color indexed="8"/>
        <rFont val="Arial"/>
        <family val="2"/>
      </rPr>
      <t>va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vf</t>
    </r>
    <r>
      <rPr>
        <b/>
        <sz val="20"/>
        <color indexed="8"/>
        <rFont val="Arial"/>
        <family val="2"/>
      </rPr>
      <t>;</t>
    </r>
    <r>
      <rPr>
        <b/>
        <strike/>
        <sz val="20"/>
        <color indexed="8"/>
        <rFont val="Arial"/>
        <family val="2"/>
      </rPr>
      <t>tipo</t>
    </r>
    <r>
      <rPr>
        <b/>
        <sz val="20"/>
        <color indexed="8"/>
        <rFont val="Arial"/>
        <family val="2"/>
      </rPr>
      <t>)</t>
    </r>
  </si>
  <si>
    <t>35 años, 1500€, 2%</t>
  </si>
  <si>
    <t>¿Sexenio?</t>
  </si>
  <si>
    <r>
      <t>=VF(tasa;nper;</t>
    </r>
    <r>
      <rPr>
        <b/>
        <sz val="26"/>
        <color indexed="8"/>
        <rFont val="Arial"/>
        <family val="2"/>
      </rPr>
      <t>pago;</t>
    </r>
    <r>
      <rPr>
        <b/>
        <strike/>
        <sz val="26"/>
        <color indexed="8"/>
        <rFont val="Arial"/>
        <family val="2"/>
      </rPr>
      <t>va</t>
    </r>
    <r>
      <rPr>
        <b/>
        <sz val="26"/>
        <color indexed="8"/>
        <rFont val="Arial"/>
        <family val="2"/>
      </rPr>
      <t>;</t>
    </r>
    <r>
      <rPr>
        <b/>
        <strike/>
        <sz val="26"/>
        <color indexed="8"/>
        <rFont val="Arial"/>
        <family val="2"/>
      </rPr>
      <t>tipo</t>
    </r>
    <r>
      <rPr>
        <b/>
        <sz val="26"/>
        <color indexed="8"/>
        <rFont val="Arial"/>
        <family val="2"/>
      </rPr>
      <t>)</t>
    </r>
  </si>
  <si>
    <t>Valor final</t>
  </si>
  <si>
    <t>Valor actual</t>
  </si>
  <si>
    <t>¿Café? 6,6%, 45 años, 365€</t>
  </si>
  <si>
    <t>1er sexenio</t>
  </si>
  <si>
    <t>el 2º</t>
  </si>
  <si>
    <t>el 3º</t>
  </si>
  <si>
    <t>el 4º</t>
  </si>
  <si>
    <t>el 5º</t>
  </si>
  <si>
    <t>el 6º</t>
  </si>
  <si>
    <t>todos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</si>
</sst>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0\ &quot;€&quot;;[Red]\-#,##0.000\ &quot;€&quot;"/>
    <numFmt numFmtId="166" formatCode="#,##0.0000\ &quot;€&quot;;[Red]\-#,##0.0000\ &quot;€&quot;"/>
    <numFmt numFmtId="167" formatCode="[$-C0A]dddd\,\ dd&quot; de &quot;mmmm&quot; de &quot;yyyy"/>
    <numFmt numFmtId="168" formatCode="_-* #,##0.00000\ _€_-;\-* #,##0.00000\ _€_-;_-* &quot;-&quot;??\ _€_-;_-@_-"/>
    <numFmt numFmtId="169" formatCode="#,##0.0\ &quot;€&quot;;[Red]\-#,##0.0\ &quot;€&quot;"/>
    <numFmt numFmtId="170" formatCode="_-* #,##0.0000\ _€_-;\-* #,##0.00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\ &quot;€&quot;"/>
    <numFmt numFmtId="176" formatCode="#,##0.0\ &quot;€&quot;"/>
    <numFmt numFmtId="177" formatCode="#,##0\ &quot;€&quot;"/>
    <numFmt numFmtId="178" formatCode="0.0%"/>
    <numFmt numFmtId="179" formatCode="_-* #,##0.0\ &quot;€&quot;_-;\-* #,##0.0\ &quot;€&quot;_-;_-* &quot;-&quot;??\ &quot;€&quot;_-;_-@_-"/>
    <numFmt numFmtId="180" formatCode="_-* #,##0\ _€_-;\-* #,##0\ _€_-;_-* &quot;-&quot;??\ _€_-;_-@_-"/>
    <numFmt numFmtId="181" formatCode="0.0000000%"/>
    <numFmt numFmtId="182" formatCode="_-* #,##0.0\ &quot;€&quot;_-;\-* #,##0.0\ &quot;€&quot;_-;_-* &quot;-&quot;?\ &quot;€&quot;_-;_-@_-"/>
    <numFmt numFmtId="183" formatCode="0\&amp;&quot; año&quot;"/>
    <numFmt numFmtId="184" formatCode="0&quot; año&quot;"/>
    <numFmt numFmtId="185" formatCode="0&quot; años&quot;"/>
    <numFmt numFmtId="186" formatCode="[$-F800]dddd\,\ mmmm\ dd\,\ yyyy"/>
    <numFmt numFmtId="187" formatCode="_-* #.##00\ &quot;€&quot;_-;\-* #.##00\ &quot;€&quot;_-;_-* &quot;-&quot;??\ &quot;€&quot;_-;_-@_-"/>
    <numFmt numFmtId="188" formatCode="0.000"/>
    <numFmt numFmtId="189" formatCode="_-* #.##0.0\ _€_-;\-* #.##0.0\ _€_-;_-* &quot;-&quot;??\ _€_-;_-@_-"/>
    <numFmt numFmtId="190" formatCode="_-* #.##0.00\ _€_-;\-* #.##0.00\ _€_-;_-* &quot;-&quot;??\ _€_-;_-@_-"/>
    <numFmt numFmtId="191" formatCode="_-* #.##0.000\ _€_-;\-* #.##0.000\ _€_-;_-* &quot;-&quot;??\ _€_-;_-@_-"/>
    <numFmt numFmtId="192" formatCode="_-* #.##0.0000\ _€_-;\-* #.##0.0000\ _€_-;_-* &quot;-&quot;??\ _€_-;_-@_-"/>
    <numFmt numFmtId="193" formatCode="_-* #.##0.00000\ _€_-;\-* #.##0.00000\ _€_-;_-* &quot;-&quot;??\ _€_-;_-@_-"/>
    <numFmt numFmtId="194" formatCode="_-* #.##0.000000\ _€_-;\-* #.##0.000000\ _€_-;_-* &quot;-&quot;??\ _€_-;_-@_-"/>
    <numFmt numFmtId="195" formatCode="_-* #.##0.\ _€_-;\-* #.##0.\ _€_-;_-* &quot;-&quot;??\ _€_-;_-@_-"/>
    <numFmt numFmtId="196" formatCode="_-* #.##.\ _€_-;\-* #.##.\ _€_-;_-* &quot;-&quot;??\ _€_-;_-@_ⴆ"/>
    <numFmt numFmtId="197" formatCode="_-* #.#.\ _€_-;\-* #.#.\ _€_-;_-* &quot;-&quot;??\ _€_-;_-@_ⴆ"/>
    <numFmt numFmtId="198" formatCode="[$-C0A]dddd\,\ d&quot; de &quot;mmmm&quot; de &quot;yyyy"/>
    <numFmt numFmtId="199" formatCode="0.00_ ;\-0.00\ "/>
    <numFmt numFmtId="200" formatCode="_-* #.##0.0\ &quot;€&quot;_-;\-* #.##0.0\ &quot;€&quot;_-;_-* &quot;-&quot;??\ &quot;€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trike/>
      <sz val="20"/>
      <color indexed="8"/>
      <name val="Arial"/>
      <family val="2"/>
    </font>
    <font>
      <b/>
      <vertAlign val="superscript"/>
      <sz val="20"/>
      <color indexed="62"/>
      <name val="Arial"/>
      <family val="2"/>
    </font>
    <font>
      <b/>
      <sz val="26"/>
      <color indexed="8"/>
      <name val="Arial"/>
      <family val="2"/>
    </font>
    <font>
      <b/>
      <strike/>
      <sz val="26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62"/>
      <name val="Arial"/>
      <family val="2"/>
    </font>
    <font>
      <b/>
      <sz val="14"/>
      <color indexed="8"/>
      <name val="Arial"/>
      <family val="2"/>
    </font>
    <font>
      <sz val="18"/>
      <color indexed="8"/>
      <name val="Calibri"/>
      <family val="0"/>
    </font>
    <font>
      <sz val="18"/>
      <color indexed="10"/>
      <name val="Calibri"/>
      <family val="0"/>
    </font>
    <font>
      <b/>
      <sz val="28"/>
      <color indexed="8"/>
      <name val="+mn-ea"/>
      <family val="0"/>
    </font>
    <font>
      <b/>
      <sz val="28"/>
      <color indexed="8"/>
      <name val="Cambria Math"/>
      <family val="0"/>
    </font>
    <font>
      <b/>
      <sz val="28"/>
      <color indexed="10"/>
      <name val="Cambria Math"/>
      <family val="0"/>
    </font>
    <font>
      <sz val="18"/>
      <color indexed="16"/>
      <name val="Calibri"/>
      <family val="0"/>
    </font>
    <font>
      <sz val="17"/>
      <color indexed="16"/>
      <name val="Calibri"/>
      <family val="0"/>
    </font>
    <font>
      <b/>
      <sz val="24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4" tint="-0.24997000396251678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6" fillId="0" borderId="0" xfId="0" applyFont="1" applyAlignment="1">
      <alignment/>
    </xf>
    <xf numFmtId="8" fontId="57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 quotePrefix="1">
      <alignment/>
    </xf>
    <xf numFmtId="0" fontId="57" fillId="0" borderId="0" xfId="0" applyFont="1" applyBorder="1" applyAlignment="1" quotePrefix="1">
      <alignment/>
    </xf>
    <xf numFmtId="166" fontId="57" fillId="0" borderId="10" xfId="0" applyNumberFormat="1" applyFont="1" applyBorder="1" applyAlignment="1">
      <alignment/>
    </xf>
    <xf numFmtId="0" fontId="58" fillId="0" borderId="11" xfId="0" applyFont="1" applyBorder="1" applyAlignment="1">
      <alignment horizontal="right"/>
    </xf>
    <xf numFmtId="9" fontId="57" fillId="0" borderId="12" xfId="0" applyNumberFormat="1" applyFont="1" applyBorder="1" applyAlignment="1">
      <alignment horizontal="center"/>
    </xf>
    <xf numFmtId="9" fontId="57" fillId="0" borderId="13" xfId="0" applyNumberFormat="1" applyFont="1" applyBorder="1" applyAlignment="1">
      <alignment horizontal="center"/>
    </xf>
    <xf numFmtId="9" fontId="57" fillId="0" borderId="14" xfId="0" applyNumberFormat="1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16" xfId="0" applyFont="1" applyBorder="1" applyAlignment="1" quotePrefix="1">
      <alignment horizontal="right"/>
    </xf>
    <xf numFmtId="170" fontId="57" fillId="0" borderId="17" xfId="49" applyNumberFormat="1" applyFont="1" applyBorder="1" applyAlignment="1">
      <alignment horizontal="center"/>
    </xf>
    <xf numFmtId="8" fontId="57" fillId="0" borderId="0" xfId="0" applyNumberFormat="1" applyFont="1" applyAlignment="1" quotePrefix="1">
      <alignment/>
    </xf>
    <xf numFmtId="15" fontId="57" fillId="0" borderId="0" xfId="0" applyNumberFormat="1" applyFont="1" applyAlignment="1">
      <alignment horizontal="center"/>
    </xf>
    <xf numFmtId="177" fontId="57" fillId="0" borderId="0" xfId="51" applyNumberFormat="1" applyFont="1" applyAlignment="1">
      <alignment horizontal="center"/>
    </xf>
    <xf numFmtId="0" fontId="59" fillId="8" borderId="18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33" borderId="19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8" borderId="21" xfId="0" applyFont="1" applyFill="1" applyBorder="1" applyAlignment="1">
      <alignment horizontal="center" vertical="center"/>
    </xf>
    <xf numFmtId="0" fontId="59" fillId="8" borderId="22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horizontal="center" vertical="center"/>
    </xf>
    <xf numFmtId="179" fontId="59" fillId="34" borderId="24" xfId="51" applyNumberFormat="1" applyFont="1" applyFill="1" applyBorder="1" applyAlignment="1">
      <alignment vertical="center"/>
    </xf>
    <xf numFmtId="178" fontId="59" fillId="34" borderId="25" xfId="55" applyNumberFormat="1" applyFont="1" applyFill="1" applyBorder="1" applyAlignment="1">
      <alignment vertical="center"/>
    </xf>
    <xf numFmtId="179" fontId="59" fillId="34" borderId="26" xfId="51" applyNumberFormat="1" applyFont="1" applyFill="1" applyBorder="1" applyAlignment="1">
      <alignment vertical="center"/>
    </xf>
    <xf numFmtId="179" fontId="59" fillId="32" borderId="26" xfId="0" applyNumberFormat="1" applyFont="1" applyFill="1" applyBorder="1" applyAlignment="1">
      <alignment vertical="center"/>
    </xf>
    <xf numFmtId="179" fontId="59" fillId="32" borderId="27" xfId="0" applyNumberFormat="1" applyFont="1" applyFill="1" applyBorder="1" applyAlignment="1">
      <alignment vertical="center"/>
    </xf>
    <xf numFmtId="179" fontId="59" fillId="32" borderId="28" xfId="0" applyNumberFormat="1" applyFont="1" applyFill="1" applyBorder="1" applyAlignment="1">
      <alignment vertical="center"/>
    </xf>
    <xf numFmtId="179" fontId="59" fillId="34" borderId="29" xfId="51" applyNumberFormat="1" applyFont="1" applyFill="1" applyBorder="1" applyAlignment="1">
      <alignment vertical="center"/>
    </xf>
    <xf numFmtId="179" fontId="59" fillId="35" borderId="10" xfId="0" applyNumberFormat="1" applyFont="1" applyFill="1" applyBorder="1" applyAlignment="1">
      <alignment vertical="center"/>
    </xf>
    <xf numFmtId="180" fontId="57" fillId="0" borderId="10" xfId="49" applyNumberFormat="1" applyFont="1" applyBorder="1" applyAlignment="1">
      <alignment horizontal="center"/>
    </xf>
    <xf numFmtId="10" fontId="57" fillId="0" borderId="10" xfId="55" applyNumberFormat="1" applyFont="1" applyBorder="1" applyAlignment="1">
      <alignment/>
    </xf>
    <xf numFmtId="0" fontId="59" fillId="0" borderId="0" xfId="0" applyFont="1" applyBorder="1" applyAlignment="1">
      <alignment/>
    </xf>
    <xf numFmtId="178" fontId="59" fillId="34" borderId="30" xfId="55" applyNumberFormat="1" applyFont="1" applyFill="1" applyBorder="1" applyAlignment="1">
      <alignment vertical="center"/>
    </xf>
    <xf numFmtId="179" fontId="59" fillId="34" borderId="28" xfId="51" applyNumberFormat="1" applyFont="1" applyFill="1" applyBorder="1" applyAlignment="1">
      <alignment vertical="center"/>
    </xf>
    <xf numFmtId="9" fontId="57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184" fontId="57" fillId="0" borderId="31" xfId="0" applyNumberFormat="1" applyFont="1" applyBorder="1" applyAlignment="1">
      <alignment horizontal="center"/>
    </xf>
    <xf numFmtId="185" fontId="57" fillId="0" borderId="31" xfId="0" applyNumberFormat="1" applyFont="1" applyBorder="1" applyAlignment="1">
      <alignment horizontal="center"/>
    </xf>
    <xf numFmtId="14" fontId="57" fillId="0" borderId="0" xfId="0" applyNumberFormat="1" applyFont="1" applyAlignment="1">
      <alignment/>
    </xf>
    <xf numFmtId="186" fontId="57" fillId="0" borderId="0" xfId="0" applyNumberFormat="1" applyFont="1" applyAlignment="1">
      <alignment/>
    </xf>
    <xf numFmtId="8" fontId="57" fillId="0" borderId="10" xfId="55" applyNumberFormat="1" applyFont="1" applyBorder="1" applyAlignment="1">
      <alignment/>
    </xf>
    <xf numFmtId="178" fontId="57" fillId="0" borderId="0" xfId="55" applyNumberFormat="1" applyFont="1" applyAlignment="1" quotePrefix="1">
      <alignment/>
    </xf>
    <xf numFmtId="8" fontId="57" fillId="0" borderId="0" xfId="0" applyNumberFormat="1" applyFont="1" applyAlignment="1">
      <alignment/>
    </xf>
    <xf numFmtId="0" fontId="60" fillId="0" borderId="0" xfId="0" applyFont="1" applyAlignment="1">
      <alignment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/>
    </xf>
    <xf numFmtId="0" fontId="57" fillId="0" borderId="34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36" xfId="0" applyFont="1" applyBorder="1" applyAlignment="1">
      <alignment/>
    </xf>
    <xf numFmtId="8" fontId="57" fillId="0" borderId="35" xfId="0" applyNumberFormat="1" applyFont="1" applyBorder="1" applyAlignment="1">
      <alignment/>
    </xf>
    <xf numFmtId="8" fontId="57" fillId="0" borderId="37" xfId="0" applyNumberFormat="1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39" xfId="0" applyFont="1" applyBorder="1" applyAlignment="1">
      <alignment/>
    </xf>
    <xf numFmtId="0" fontId="60" fillId="0" borderId="35" xfId="0" applyFont="1" applyBorder="1" applyAlignment="1" quotePrefix="1">
      <alignment/>
    </xf>
    <xf numFmtId="0" fontId="60" fillId="0" borderId="0" xfId="0" applyFont="1" applyBorder="1" applyAlignment="1">
      <alignment/>
    </xf>
    <xf numFmtId="0" fontId="60" fillId="0" borderId="36" xfId="0" applyFont="1" applyBorder="1" applyAlignment="1">
      <alignment/>
    </xf>
    <xf numFmtId="0" fontId="57" fillId="0" borderId="35" xfId="0" applyFont="1" applyBorder="1" applyAlignment="1" quotePrefix="1">
      <alignment/>
    </xf>
    <xf numFmtId="0" fontId="57" fillId="0" borderId="37" xfId="0" applyFont="1" applyBorder="1" applyAlignment="1">
      <alignment/>
    </xf>
    <xf numFmtId="0" fontId="57" fillId="0" borderId="0" xfId="0" applyFont="1" applyBorder="1" applyAlignment="1" quotePrefix="1">
      <alignment horizontal="center"/>
    </xf>
    <xf numFmtId="0" fontId="5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5"/>
          <c:y val="0.2135"/>
          <c:w val="0.948"/>
          <c:h val="0.7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Constitucion!$G$4</c:f>
              <c:strCache>
                <c:ptCount val="1"/>
                <c:pt idx="0">
                  <c:v>Capital Final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Constitucion!$G$6:$G$9</c:f>
              <c:numCache/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</xdr:row>
      <xdr:rowOff>114300</xdr:rowOff>
    </xdr:from>
    <xdr:to>
      <xdr:col>8</xdr:col>
      <xdr:colOff>323850</xdr:colOff>
      <xdr:row>6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304800"/>
          <a:ext cx="962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10</xdr:row>
      <xdr:rowOff>0</xdr:rowOff>
    </xdr:from>
    <xdr:ext cx="304800" cy="304800"/>
    <xdr:sp>
      <xdr:nvSpPr>
        <xdr:cNvPr id="2" name="AutoShape 7" descr="Icono de la taza de café | Vectores de dominio público"/>
        <xdr:cNvSpPr>
          <a:spLocks noChangeAspect="1"/>
        </xdr:cNvSpPr>
      </xdr:nvSpPr>
      <xdr:spPr>
        <a:xfrm>
          <a:off x="13049250" y="287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352425</xdr:colOff>
      <xdr:row>16</xdr:row>
      <xdr:rowOff>9525</xdr:rowOff>
    </xdr:from>
    <xdr:to>
      <xdr:col>8</xdr:col>
      <xdr:colOff>504825</xdr:colOff>
      <xdr:row>19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4933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</xdr:row>
      <xdr:rowOff>19050</xdr:rowOff>
    </xdr:from>
    <xdr:to>
      <xdr:col>8</xdr:col>
      <xdr:colOff>419100</xdr:colOff>
      <xdr:row>5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86650" y="228600"/>
          <a:ext cx="876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15</xdr:row>
      <xdr:rowOff>66675</xdr:rowOff>
    </xdr:from>
    <xdr:to>
      <xdr:col>8</xdr:col>
      <xdr:colOff>1219200</xdr:colOff>
      <xdr:row>17</xdr:row>
      <xdr:rowOff>314325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43148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7</xdr:row>
      <xdr:rowOff>123825</xdr:rowOff>
    </xdr:from>
    <xdr:to>
      <xdr:col>5</xdr:col>
      <xdr:colOff>419100</xdr:colOff>
      <xdr:row>11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43100"/>
          <a:ext cx="468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</xdr:row>
      <xdr:rowOff>57150</xdr:rowOff>
    </xdr:from>
    <xdr:to>
      <xdr:col>8</xdr:col>
      <xdr:colOff>600075</xdr:colOff>
      <xdr:row>11</xdr:row>
      <xdr:rowOff>76200</xdr:rowOff>
    </xdr:to>
    <xdr:sp>
      <xdr:nvSpPr>
        <xdr:cNvPr id="2" name="39 Llamada rectangular redondeada"/>
        <xdr:cNvSpPr>
          <a:spLocks/>
        </xdr:cNvSpPr>
      </xdr:nvSpPr>
      <xdr:spPr>
        <a:xfrm>
          <a:off x="6448425" y="2076450"/>
          <a:ext cx="2524125" cy="914400"/>
        </a:xfrm>
        <a:prstGeom prst="wedgeRoundRectCallout">
          <a:avLst>
            <a:gd name="adj1" fmla="val -78134"/>
            <a:gd name="adj2" fmla="val 68319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"casi igual" 1 euro al año durante 100 años que durante 1.000 años</a:t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2</xdr:col>
      <xdr:colOff>1276350</xdr:colOff>
      <xdr:row>19</xdr:row>
      <xdr:rowOff>123825</xdr:rowOff>
    </xdr:to>
    <xdr:sp>
      <xdr:nvSpPr>
        <xdr:cNvPr id="3" name="39 Llamada rectangular redondeada"/>
        <xdr:cNvSpPr>
          <a:spLocks/>
        </xdr:cNvSpPr>
      </xdr:nvSpPr>
      <xdr:spPr>
        <a:xfrm>
          <a:off x="981075" y="3895725"/>
          <a:ext cx="1247775" cy="9620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dentro de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</a:t>
          </a:r>
        </a:p>
      </xdr:txBody>
    </xdr:sp>
    <xdr:clientData/>
  </xdr:twoCellAnchor>
  <xdr:twoCellAnchor>
    <xdr:from>
      <xdr:col>3</xdr:col>
      <xdr:colOff>28575</xdr:colOff>
      <xdr:row>15</xdr:row>
      <xdr:rowOff>9525</xdr:rowOff>
    </xdr:from>
    <xdr:to>
      <xdr:col>3</xdr:col>
      <xdr:colOff>1266825</xdr:colOff>
      <xdr:row>21</xdr:row>
      <xdr:rowOff>19050</xdr:rowOff>
    </xdr:to>
    <xdr:sp>
      <xdr:nvSpPr>
        <xdr:cNvPr id="4" name="39 Llamada rectangular redondeada"/>
        <xdr:cNvSpPr>
          <a:spLocks/>
        </xdr:cNvSpPr>
      </xdr:nvSpPr>
      <xdr:spPr>
        <a:xfrm>
          <a:off x="2276475" y="3981450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4</xdr:col>
      <xdr:colOff>28575</xdr:colOff>
      <xdr:row>14</xdr:row>
      <xdr:rowOff>152400</xdr:rowOff>
    </xdr:from>
    <xdr:to>
      <xdr:col>4</xdr:col>
      <xdr:colOff>1266825</xdr:colOff>
      <xdr:row>20</xdr:row>
      <xdr:rowOff>161925</xdr:rowOff>
    </xdr:to>
    <xdr:sp>
      <xdr:nvSpPr>
        <xdr:cNvPr id="5" name="39 Llamada rectangular redondeada"/>
        <xdr:cNvSpPr>
          <a:spLocks/>
        </xdr:cNvSpPr>
      </xdr:nvSpPr>
      <xdr:spPr>
        <a:xfrm>
          <a:off x="3571875" y="3933825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5</xdr:col>
      <xdr:colOff>28575</xdr:colOff>
      <xdr:row>14</xdr:row>
      <xdr:rowOff>95250</xdr:rowOff>
    </xdr:from>
    <xdr:to>
      <xdr:col>5</xdr:col>
      <xdr:colOff>1266825</xdr:colOff>
      <xdr:row>20</xdr:row>
      <xdr:rowOff>104775</xdr:rowOff>
    </xdr:to>
    <xdr:sp>
      <xdr:nvSpPr>
        <xdr:cNvPr id="6" name="39 Llamada rectangular redondeada"/>
        <xdr:cNvSpPr>
          <a:spLocks/>
        </xdr:cNvSpPr>
      </xdr:nvSpPr>
      <xdr:spPr>
        <a:xfrm>
          <a:off x="4867275" y="3876675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  <xdr:twoCellAnchor>
    <xdr:from>
      <xdr:col>6</xdr:col>
      <xdr:colOff>114300</xdr:colOff>
      <xdr:row>14</xdr:row>
      <xdr:rowOff>142875</xdr:rowOff>
    </xdr:from>
    <xdr:to>
      <xdr:col>6</xdr:col>
      <xdr:colOff>1352550</xdr:colOff>
      <xdr:row>20</xdr:row>
      <xdr:rowOff>152400</xdr:rowOff>
    </xdr:to>
    <xdr:sp>
      <xdr:nvSpPr>
        <xdr:cNvPr id="7" name="39 Llamada rectangular redondeada"/>
        <xdr:cNvSpPr>
          <a:spLocks/>
        </xdr:cNvSpPr>
      </xdr:nvSpPr>
      <xdr:spPr>
        <a:xfrm>
          <a:off x="6248400" y="3924300"/>
          <a:ext cx="1238250" cy="1152525"/>
        </a:xfrm>
        <a:prstGeom prst="wedgeRoundRectCallout">
          <a:avLst>
            <a:gd name="adj1" fmla="val -15203"/>
            <a:gd name="adj2" fmla="val -7034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dan 1€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cada año durante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años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123825</xdr:rowOff>
    </xdr:from>
    <xdr:to>
      <xdr:col>8</xdr:col>
      <xdr:colOff>609600</xdr:colOff>
      <xdr:row>7</xdr:row>
      <xdr:rowOff>123825</xdr:rowOff>
    </xdr:to>
    <xdr:sp>
      <xdr:nvSpPr>
        <xdr:cNvPr id="1" name="13 Rectángulo"/>
        <xdr:cNvSpPr>
          <a:spLocks/>
        </xdr:cNvSpPr>
      </xdr:nvSpPr>
      <xdr:spPr>
        <a:xfrm>
          <a:off x="133350" y="1685925"/>
          <a:ext cx="8639175" cy="4286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〖〖</a:t>
          </a:r>
          <a:r>
            <a:rPr lang="en-US" cap="none" sz="2800" b="1" i="0" u="none" baseline="0">
              <a:solidFill>
                <a:srgbClr val="000000"/>
              </a:solidFill>
            </a:rPr>
            <a:t>(1+i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_</a:t>
          </a:r>
          <a:r>
            <a:rPr lang="en-US" cap="none" sz="2800" b="1" i="0" u="none" baseline="0">
              <a:solidFill>
                <a:srgbClr val="000000"/>
              </a:solidFill>
            </a:rPr>
            <a:t>mensual)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^(</a:t>
          </a:r>
          <a:r>
            <a:rPr lang="en-US" cap="none" sz="2800" b="1" i="0" u="none" baseline="0">
              <a:solidFill>
                <a:srgbClr val="000000"/>
              </a:solidFill>
            </a:rPr>
            <a:t>número meses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  <a:r>
            <a:rPr lang="en-US" cap="none" sz="2800" b="1" i="0" u="none" baseline="0">
              <a:solidFill>
                <a:srgbClr val="000000"/>
              </a:solidFill>
            </a:rPr>
            <a:t>=</a:t>
          </a:r>
          <a:r>
            <a:rPr lang="en-US" cap="none" sz="2800" b="1" i="0" u="none" baseline="0">
              <a:solidFill>
                <a:srgbClr val="000000"/>
              </a:solidFill>
            </a:rPr>
            <a:t>〖〖</a:t>
          </a:r>
          <a:r>
            <a:rPr lang="en-US" cap="none" sz="2800" b="1" i="0" u="none" baseline="0">
              <a:solidFill>
                <a:srgbClr val="000000"/>
              </a:solidFill>
            </a:rPr>
            <a:t>(1+</a:t>
          </a:r>
          <a:r>
            <a:rPr lang="en-US" cap="none" sz="2800" b="1" i="0" u="none" baseline="0">
              <a:solidFill>
                <a:srgbClr val="FF0000"/>
              </a:solidFill>
            </a:rPr>
            <a:t>i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_</a:t>
          </a:r>
          <a:r>
            <a:rPr lang="en-US" cap="none" sz="2800" b="1" i="0" u="none" baseline="0">
              <a:solidFill>
                <a:srgbClr val="FF0000"/>
              </a:solidFill>
            </a:rPr>
            <a:t>anual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  <a:r>
            <a:rPr lang="en-US" cap="none" sz="2800" b="1" i="0" u="none" baseline="0">
              <a:solidFill>
                <a:srgbClr val="000000"/>
              </a:solidFill>
            </a:rPr>
            <a:t>〗</a:t>
          </a:r>
          <a:r>
            <a:rPr lang="en-US" cap="none" sz="2800" b="1" i="0" u="none" baseline="0">
              <a:solidFill>
                <a:srgbClr val="000000"/>
              </a:solidFill>
            </a:rPr>
            <a:t>^(</a:t>
          </a:r>
          <a:r>
            <a:rPr lang="en-US" cap="none" sz="2800" b="1" i="0" u="none" baseline="0">
              <a:solidFill>
                <a:srgbClr val="000000"/>
              </a:solidFill>
            </a:rPr>
            <a:t>número años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438150</xdr:colOff>
      <xdr:row>10</xdr:row>
      <xdr:rowOff>76200</xdr:rowOff>
    </xdr:from>
    <xdr:to>
      <xdr:col>8</xdr:col>
      <xdr:colOff>523875</xdr:colOff>
      <xdr:row>12</xdr:row>
      <xdr:rowOff>304800</xdr:rowOff>
    </xdr:to>
    <xdr:sp>
      <xdr:nvSpPr>
        <xdr:cNvPr id="2" name="39 Llamada rectangular redondeada"/>
        <xdr:cNvSpPr>
          <a:spLocks/>
        </xdr:cNvSpPr>
      </xdr:nvSpPr>
      <xdr:spPr>
        <a:xfrm>
          <a:off x="6219825" y="2962275"/>
          <a:ext cx="2466975" cy="723900"/>
        </a:xfrm>
        <a:prstGeom prst="wedgeRoundRectCallout">
          <a:avLst>
            <a:gd name="adj1" fmla="val -59976"/>
            <a:gd name="adj2" fmla="val 27833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Le digo la tasa nominal y el número de periodos </a:t>
          </a:r>
        </a:p>
      </xdr:txBody>
    </xdr:sp>
    <xdr:clientData/>
  </xdr:twoCellAnchor>
  <xdr:twoCellAnchor editAs="oneCell">
    <xdr:from>
      <xdr:col>1</xdr:col>
      <xdr:colOff>685800</xdr:colOff>
      <xdr:row>13</xdr:row>
      <xdr:rowOff>57150</xdr:rowOff>
    </xdr:from>
    <xdr:to>
      <xdr:col>8</xdr:col>
      <xdr:colOff>304800</xdr:colOff>
      <xdr:row>15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771900"/>
          <a:ext cx="73342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</xdr:row>
      <xdr:rowOff>123825</xdr:rowOff>
    </xdr:from>
    <xdr:to>
      <xdr:col>5</xdr:col>
      <xdr:colOff>552450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1123950" y="2190750"/>
        <a:ext cx="38195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12</xdr:row>
      <xdr:rowOff>171450</xdr:rowOff>
    </xdr:from>
    <xdr:to>
      <xdr:col>10</xdr:col>
      <xdr:colOff>266700</xdr:colOff>
      <xdr:row>15</xdr:row>
      <xdr:rowOff>171450</xdr:rowOff>
    </xdr:to>
    <xdr:sp>
      <xdr:nvSpPr>
        <xdr:cNvPr id="2" name="39 Llamada rectangular redondeada"/>
        <xdr:cNvSpPr>
          <a:spLocks/>
        </xdr:cNvSpPr>
      </xdr:nvSpPr>
      <xdr:spPr>
        <a:xfrm>
          <a:off x="4619625" y="2809875"/>
          <a:ext cx="5448300" cy="571500"/>
        </a:xfrm>
        <a:prstGeom prst="wedgeRoundRectCallout">
          <a:avLst>
            <a:gd name="adj1" fmla="val -57421"/>
            <a:gd name="adj2" fmla="val -171574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Los intereses son:
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Tipo de interés *(Aportación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+ Capital Final del Año Pasado)</a:t>
          </a:r>
        </a:p>
      </xdr:txBody>
    </xdr:sp>
    <xdr:clientData/>
  </xdr:twoCellAnchor>
  <xdr:twoCellAnchor>
    <xdr:from>
      <xdr:col>5</xdr:col>
      <xdr:colOff>1314450</xdr:colOff>
      <xdr:row>10</xdr:row>
      <xdr:rowOff>57150</xdr:rowOff>
    </xdr:from>
    <xdr:to>
      <xdr:col>7</xdr:col>
      <xdr:colOff>400050</xdr:colOff>
      <xdr:row>13</xdr:row>
      <xdr:rowOff>57150</xdr:rowOff>
    </xdr:to>
    <xdr:sp>
      <xdr:nvSpPr>
        <xdr:cNvPr id="3" name="39 Llamada rectangular redondeada"/>
        <xdr:cNvSpPr>
          <a:spLocks/>
        </xdr:cNvSpPr>
      </xdr:nvSpPr>
      <xdr:spPr>
        <a:xfrm>
          <a:off x="5705475" y="2314575"/>
          <a:ext cx="2209800" cy="571500"/>
        </a:xfrm>
        <a:prstGeom prst="wedgeRoundRectCallout">
          <a:avLst>
            <a:gd name="adj1" fmla="val -53819"/>
            <a:gd name="adj2" fmla="val -81296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El Incremento es:
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Aportación</a:t>
          </a:r>
          <a:r>
            <a:rPr lang="en-US" cap="none" sz="17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+ intereses</a:t>
          </a:r>
        </a:p>
      </xdr:txBody>
    </xdr:sp>
    <xdr:clientData/>
  </xdr:twoCellAnchor>
  <xdr:twoCellAnchor>
    <xdr:from>
      <xdr:col>7</xdr:col>
      <xdr:colOff>200025</xdr:colOff>
      <xdr:row>4</xdr:row>
      <xdr:rowOff>209550</xdr:rowOff>
    </xdr:from>
    <xdr:to>
      <xdr:col>11</xdr:col>
      <xdr:colOff>9525</xdr:colOff>
      <xdr:row>9</xdr:row>
      <xdr:rowOff>57150</xdr:rowOff>
    </xdr:to>
    <xdr:sp>
      <xdr:nvSpPr>
        <xdr:cNvPr id="4" name="39 Llamada rectangular redondeada"/>
        <xdr:cNvSpPr>
          <a:spLocks/>
        </xdr:cNvSpPr>
      </xdr:nvSpPr>
      <xdr:spPr>
        <a:xfrm>
          <a:off x="7715250" y="1133475"/>
          <a:ext cx="2857500" cy="990600"/>
        </a:xfrm>
        <a:prstGeom prst="wedgeRoundRectCallout">
          <a:avLst>
            <a:gd name="adj1" fmla="val -55546"/>
            <a:gd name="adj2" fmla="val -2990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 El Capital Final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es:
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Capital Final del año pasado + Incremento</a:t>
          </a:r>
        </a:p>
      </xdr:txBody>
    </xdr:sp>
    <xdr:clientData/>
  </xdr:twoCellAnchor>
  <xdr:twoCellAnchor>
    <xdr:from>
      <xdr:col>5</xdr:col>
      <xdr:colOff>238125</xdr:colOff>
      <xdr:row>12</xdr:row>
      <xdr:rowOff>171450</xdr:rowOff>
    </xdr:from>
    <xdr:to>
      <xdr:col>5</xdr:col>
      <xdr:colOff>590550</xdr:colOff>
      <xdr:row>14</xdr:row>
      <xdr:rowOff>95250</xdr:rowOff>
    </xdr:to>
    <xdr:sp>
      <xdr:nvSpPr>
        <xdr:cNvPr id="5" name="36 Rectángulo redondeado"/>
        <xdr:cNvSpPr>
          <a:spLocks/>
        </xdr:cNvSpPr>
      </xdr:nvSpPr>
      <xdr:spPr>
        <a:xfrm rot="21434302">
          <a:off x="4629150" y="2809875"/>
          <a:ext cx="352425" cy="304800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5</xdr:col>
      <xdr:colOff>1295400</xdr:colOff>
      <xdr:row>10</xdr:row>
      <xdr:rowOff>66675</xdr:rowOff>
    </xdr:from>
    <xdr:to>
      <xdr:col>6</xdr:col>
      <xdr:colOff>209550</xdr:colOff>
      <xdr:row>11</xdr:row>
      <xdr:rowOff>171450</xdr:rowOff>
    </xdr:to>
    <xdr:sp>
      <xdr:nvSpPr>
        <xdr:cNvPr id="6" name="36 Rectángulo redondeado"/>
        <xdr:cNvSpPr>
          <a:spLocks/>
        </xdr:cNvSpPr>
      </xdr:nvSpPr>
      <xdr:spPr>
        <a:xfrm rot="21434302">
          <a:off x="5686425" y="2324100"/>
          <a:ext cx="361950" cy="29527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7</xdr:col>
      <xdr:colOff>190500</xdr:colOff>
      <xdr:row>5</xdr:row>
      <xdr:rowOff>19050</xdr:rowOff>
    </xdr:from>
    <xdr:to>
      <xdr:col>7</xdr:col>
      <xdr:colOff>552450</xdr:colOff>
      <xdr:row>6</xdr:row>
      <xdr:rowOff>142875</xdr:rowOff>
    </xdr:to>
    <xdr:sp>
      <xdr:nvSpPr>
        <xdr:cNvPr id="7" name="36 Rectángulo redondeado"/>
        <xdr:cNvSpPr>
          <a:spLocks/>
        </xdr:cNvSpPr>
      </xdr:nvSpPr>
      <xdr:spPr>
        <a:xfrm rot="21434302">
          <a:off x="7705725" y="1152525"/>
          <a:ext cx="361950" cy="352425"/>
        </a:xfrm>
        <a:prstGeom prst="roundRect">
          <a:avLst>
            <a:gd name="adj" fmla="val 0"/>
          </a:avLst>
        </a:prstGeom>
        <a:solidFill>
          <a:srgbClr val="FFC00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3" customWidth="1"/>
    <col min="2" max="2" width="23.57421875" style="3" bestFit="1" customWidth="1"/>
    <col min="3" max="3" width="14.57421875" style="3" customWidth="1"/>
    <col min="4" max="4" width="14.7109375" style="3" customWidth="1"/>
    <col min="5" max="5" width="14.8515625" style="3" customWidth="1"/>
    <col min="6" max="6" width="5.57421875" style="3" customWidth="1"/>
    <col min="7" max="7" width="52.28125" style="3" customWidth="1"/>
    <col min="8" max="16384" width="11.421875" style="3" customWidth="1"/>
  </cols>
  <sheetData>
    <row r="1" ht="15" customHeight="1" thickBot="1"/>
    <row r="2" spans="2:9" ht="26.25">
      <c r="B2" s="50" t="s">
        <v>30</v>
      </c>
      <c r="C2" s="51"/>
      <c r="D2" s="51"/>
      <c r="E2" s="52"/>
      <c r="G2" s="50" t="s">
        <v>53</v>
      </c>
      <c r="H2" s="51"/>
      <c r="I2" s="52"/>
    </row>
    <row r="3" spans="2:9" ht="12.75" customHeight="1">
      <c r="B3" s="53"/>
      <c r="C3" s="54"/>
      <c r="D3" s="54"/>
      <c r="E3" s="55"/>
      <c r="G3" s="53"/>
      <c r="H3" s="54"/>
      <c r="I3" s="55"/>
    </row>
    <row r="4" spans="2:9" ht="26.25">
      <c r="B4" s="53" t="s">
        <v>31</v>
      </c>
      <c r="C4" s="54"/>
      <c r="D4" s="54"/>
      <c r="E4" s="55"/>
      <c r="G4" s="53" t="s">
        <v>55</v>
      </c>
      <c r="H4" s="54"/>
      <c r="I4" s="55"/>
    </row>
    <row r="5" spans="2:9" ht="13.5" customHeight="1">
      <c r="B5" s="53"/>
      <c r="C5" s="54"/>
      <c r="D5" s="54"/>
      <c r="E5" s="55"/>
      <c r="G5" s="53"/>
      <c r="H5" s="54"/>
      <c r="I5" s="55"/>
    </row>
    <row r="6" spans="2:9" ht="26.25">
      <c r="B6" s="53" t="s">
        <v>28</v>
      </c>
      <c r="C6" s="54"/>
      <c r="D6" s="54"/>
      <c r="E6" s="55"/>
      <c r="G6" s="53" t="s">
        <v>52</v>
      </c>
      <c r="H6" s="54"/>
      <c r="I6" s="55"/>
    </row>
    <row r="7" spans="2:9" ht="20.25" customHeight="1">
      <c r="B7" s="53"/>
      <c r="C7" s="54"/>
      <c r="D7" s="54"/>
      <c r="E7" s="55"/>
      <c r="G7" s="53"/>
      <c r="H7" s="54"/>
      <c r="I7" s="55"/>
    </row>
    <row r="8" spans="2:9" s="49" customFormat="1" ht="33.75">
      <c r="B8" s="60" t="s">
        <v>54</v>
      </c>
      <c r="C8" s="61"/>
      <c r="D8" s="61"/>
      <c r="E8" s="62"/>
      <c r="G8" s="56">
        <f>FV(2%,35,-1500)</f>
        <v>74991.7164496841</v>
      </c>
      <c r="H8" s="54" t="s">
        <v>58</v>
      </c>
      <c r="I8" s="55"/>
    </row>
    <row r="9" spans="2:9" ht="26.25" customHeight="1">
      <c r="B9" s="53"/>
      <c r="C9" s="54"/>
      <c r="D9" s="54"/>
      <c r="E9" s="55"/>
      <c r="G9" s="56">
        <f>FV(2%,29,-1500)</f>
        <v>58188.35177230539</v>
      </c>
      <c r="H9" s="54" t="s">
        <v>59</v>
      </c>
      <c r="I9" s="55"/>
    </row>
    <row r="10" spans="2:9" ht="26.25">
      <c r="B10" s="63" t="s">
        <v>2</v>
      </c>
      <c r="C10" s="54"/>
      <c r="D10" s="54"/>
      <c r="E10" s="55"/>
      <c r="G10" s="56">
        <f>FV(2%,23,-1500)</f>
        <v>43267.44481435478</v>
      </c>
      <c r="H10" s="54" t="s">
        <v>60</v>
      </c>
      <c r="I10" s="55"/>
    </row>
    <row r="11" spans="2:14" ht="27" thickBot="1">
      <c r="B11" s="53"/>
      <c r="C11" s="54"/>
      <c r="D11" s="54"/>
      <c r="E11" s="55"/>
      <c r="G11" s="56">
        <f>FV(2%,17,-1500)</f>
        <v>30018.106439431827</v>
      </c>
      <c r="H11" s="54" t="s">
        <v>61</v>
      </c>
      <c r="I11" s="55"/>
      <c r="N11"/>
    </row>
    <row r="12" spans="2:9" ht="27" thickBot="1">
      <c r="B12" s="2">
        <f>FV(10%,4,-1000)</f>
        <v>4641.000000000004</v>
      </c>
      <c r="C12" s="54"/>
      <c r="D12" s="54"/>
      <c r="E12" s="55"/>
      <c r="G12" s="56">
        <f>FV(2%,11,-1500)</f>
        <v>18253.073129598903</v>
      </c>
      <c r="H12" s="54" t="s">
        <v>62</v>
      </c>
      <c r="I12" s="55"/>
    </row>
    <row r="13" spans="2:9" ht="27" thickBot="1">
      <c r="B13" s="64"/>
      <c r="C13" s="58"/>
      <c r="D13" s="58"/>
      <c r="E13" s="59"/>
      <c r="G13" s="56">
        <f>FV(2%,5,-1500)</f>
        <v>7806.060240000002</v>
      </c>
      <c r="H13" s="54" t="s">
        <v>63</v>
      </c>
      <c r="I13" s="55"/>
    </row>
    <row r="14" spans="2:9" ht="26.25">
      <c r="B14" s="54"/>
      <c r="C14" s="54"/>
      <c r="D14" s="54"/>
      <c r="E14" s="54"/>
      <c r="G14" s="56"/>
      <c r="H14" s="54"/>
      <c r="I14" s="55"/>
    </row>
    <row r="15" spans="2:9" ht="27" thickBot="1">
      <c r="B15" s="54"/>
      <c r="C15" s="54"/>
      <c r="D15" s="54"/>
      <c r="E15" s="54"/>
      <c r="G15" s="57">
        <f>SUM(G8:G13)</f>
        <v>232524.75284537498</v>
      </c>
      <c r="H15" s="58" t="s">
        <v>64</v>
      </c>
      <c r="I15" s="59"/>
    </row>
    <row r="16" ht="27" thickBot="1"/>
    <row r="17" spans="7:9" ht="13.5" customHeight="1">
      <c r="G17" s="50"/>
      <c r="H17" s="51"/>
      <c r="I17" s="52"/>
    </row>
    <row r="18" spans="7:9" ht="26.25">
      <c r="G18" s="53" t="s">
        <v>57</v>
      </c>
      <c r="H18" s="54"/>
      <c r="I18" s="55"/>
    </row>
    <row r="19" spans="7:9" ht="10.5" customHeight="1">
      <c r="G19" s="53"/>
      <c r="H19" s="54"/>
      <c r="I19" s="55"/>
    </row>
    <row r="20" spans="7:9" ht="27" thickBot="1">
      <c r="G20" s="57">
        <f>FV(6.6%,45,-365)</f>
        <v>92604.51917695164</v>
      </c>
      <c r="H20" s="58"/>
      <c r="I20" s="5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3.28125" style="0" customWidth="1"/>
    <col min="2" max="3" width="11.7109375" style="20" bestFit="1" customWidth="1"/>
    <col min="4" max="4" width="20.57421875" style="20" customWidth="1"/>
    <col min="5" max="5" width="18.57421875" style="20" customWidth="1"/>
    <col min="6" max="6" width="21.7109375" style="20" customWidth="1"/>
    <col min="7" max="7" width="25.140625" style="20" customWidth="1"/>
  </cols>
  <sheetData>
    <row r="1" s="20" customFormat="1" ht="18">
      <c r="B1" s="20" t="s">
        <v>15</v>
      </c>
    </row>
    <row r="2" s="20" customFormat="1" ht="18">
      <c r="B2" s="20" t="s">
        <v>29</v>
      </c>
    </row>
    <row r="3" s="20" customFormat="1" ht="18.75" thickBot="1"/>
    <row r="4" spans="1:7" ht="18">
      <c r="A4" s="20"/>
      <c r="B4" s="19" t="s">
        <v>14</v>
      </c>
      <c r="C4" s="24" t="s">
        <v>0</v>
      </c>
      <c r="D4" s="25" t="s">
        <v>16</v>
      </c>
      <c r="E4" s="25" t="s">
        <v>17</v>
      </c>
      <c r="F4" s="25" t="s">
        <v>18</v>
      </c>
      <c r="G4" s="26" t="s">
        <v>19</v>
      </c>
    </row>
    <row r="5" spans="1:7" ht="16.5" customHeight="1">
      <c r="A5" s="20"/>
      <c r="B5" s="21"/>
      <c r="C5" s="37"/>
      <c r="D5" s="37"/>
      <c r="E5" s="27"/>
      <c r="F5" s="27"/>
      <c r="G5" s="33">
        <v>0</v>
      </c>
    </row>
    <row r="6" spans="1:7" ht="18">
      <c r="A6" s="20"/>
      <c r="B6" s="22">
        <v>1</v>
      </c>
      <c r="C6" s="28">
        <v>0.03</v>
      </c>
      <c r="D6" s="29">
        <v>3000</v>
      </c>
      <c r="E6" s="30">
        <f>C6*(G5+D6)</f>
        <v>90</v>
      </c>
      <c r="F6" s="30">
        <f>D6+E6</f>
        <v>3090</v>
      </c>
      <c r="G6" s="31">
        <f>G5+F6</f>
        <v>3090</v>
      </c>
    </row>
    <row r="7" spans="1:7" ht="18">
      <c r="A7" s="20"/>
      <c r="B7" s="22">
        <v>2</v>
      </c>
      <c r="C7" s="28">
        <v>0.04</v>
      </c>
      <c r="D7" s="29">
        <v>4000</v>
      </c>
      <c r="E7" s="30">
        <f>C7*(G6+D7)</f>
        <v>283.6</v>
      </c>
      <c r="F7" s="30">
        <f>D7+E7</f>
        <v>4283.6</v>
      </c>
      <c r="G7" s="31">
        <f>G6+F7</f>
        <v>7373.6</v>
      </c>
    </row>
    <row r="8" spans="1:7" ht="18.75" thickBot="1">
      <c r="A8" s="20"/>
      <c r="B8" s="22">
        <v>3</v>
      </c>
      <c r="C8" s="28">
        <v>0.05</v>
      </c>
      <c r="D8" s="29">
        <v>4500</v>
      </c>
      <c r="E8" s="30">
        <f>C8*(G7+D8)</f>
        <v>593.6800000000001</v>
      </c>
      <c r="F8" s="30">
        <f>D8+E8</f>
        <v>5093.68</v>
      </c>
      <c r="G8" s="31">
        <f>G7+F8</f>
        <v>12467.28</v>
      </c>
    </row>
    <row r="9" spans="1:7" ht="18.75" thickBot="1">
      <c r="A9" s="20"/>
      <c r="B9" s="23">
        <v>4</v>
      </c>
      <c r="C9" s="38">
        <v>0.05</v>
      </c>
      <c r="D9" s="39">
        <v>5000</v>
      </c>
      <c r="E9" s="32">
        <f>C9*(G8+D9)</f>
        <v>873.364</v>
      </c>
      <c r="F9" s="32">
        <f>D9+E9</f>
        <v>5873.364</v>
      </c>
      <c r="G9" s="34">
        <f>G8+F9</f>
        <v>18340.644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.57421875" style="3" customWidth="1"/>
    <col min="2" max="2" width="24.57421875" style="3" bestFit="1" customWidth="1"/>
    <col min="3" max="6" width="11.421875" style="3" customWidth="1"/>
    <col min="7" max="7" width="35.8515625" style="3" bestFit="1" customWidth="1"/>
    <col min="8" max="8" width="11.421875" style="3" customWidth="1"/>
    <col min="9" max="9" width="20.140625" style="3" customWidth="1"/>
    <col min="10" max="16384" width="11.421875" style="3" customWidth="1"/>
  </cols>
  <sheetData>
    <row r="1" ht="16.5" customHeight="1" thickBot="1"/>
    <row r="2" spans="2:9" ht="26.25">
      <c r="B2" s="3" t="s">
        <v>32</v>
      </c>
      <c r="G2" s="50" t="s">
        <v>53</v>
      </c>
      <c r="H2" s="51"/>
      <c r="I2" s="52"/>
    </row>
    <row r="3" spans="7:9" ht="14.25" customHeight="1">
      <c r="G3" s="53"/>
      <c r="H3" s="54"/>
      <c r="I3" s="55"/>
    </row>
    <row r="4" spans="2:9" ht="27.75" customHeight="1">
      <c r="B4" s="3" t="s">
        <v>31</v>
      </c>
      <c r="G4" s="53" t="s">
        <v>56</v>
      </c>
      <c r="H4" s="54"/>
      <c r="I4" s="55"/>
    </row>
    <row r="5" spans="7:9" ht="12.75" customHeight="1">
      <c r="G5" s="53"/>
      <c r="H5" s="54"/>
      <c r="I5" s="55"/>
    </row>
    <row r="6" spans="2:9" ht="26.25">
      <c r="B6" s="3" t="s">
        <v>28</v>
      </c>
      <c r="G6" s="53" t="s">
        <v>52</v>
      </c>
      <c r="H6" s="54"/>
      <c r="I6" s="55"/>
    </row>
    <row r="7" spans="7:9" ht="26.25">
      <c r="G7" s="56">
        <f>PV(2%,35,-1500)</f>
        <v>37497.928998052696</v>
      </c>
      <c r="H7" s="66" t="s">
        <v>58</v>
      </c>
      <c r="I7" s="55"/>
    </row>
    <row r="8" spans="2:9" ht="26.25">
      <c r="B8" s="4" t="s">
        <v>3</v>
      </c>
      <c r="G8" s="56">
        <f>PV(2%,29,-1500)</f>
        <v>32766.576993036728</v>
      </c>
      <c r="H8" s="66" t="s">
        <v>59</v>
      </c>
      <c r="I8" s="55"/>
    </row>
    <row r="9" spans="7:9" ht="26.25">
      <c r="G9" s="56">
        <f>PV(2%,23,-1500)</f>
        <v>27438.306172678364</v>
      </c>
      <c r="H9" s="66" t="s">
        <v>60</v>
      </c>
      <c r="I9" s="55"/>
    </row>
    <row r="10" spans="2:9" ht="26.25">
      <c r="B10" s="5" t="s">
        <v>4</v>
      </c>
      <c r="G10" s="56">
        <f>PV(2%,17,-1500)</f>
        <v>21437.80781512982</v>
      </c>
      <c r="H10" s="66" t="s">
        <v>61</v>
      </c>
      <c r="I10" s="55"/>
    </row>
    <row r="11" spans="7:9" ht="27" thickBot="1">
      <c r="G11" s="56">
        <f>PV(2%,11,-1500)</f>
        <v>14680.272068003276</v>
      </c>
      <c r="H11" s="66" t="s">
        <v>62</v>
      </c>
      <c r="I11" s="55"/>
    </row>
    <row r="12" spans="2:9" ht="27" thickBot="1">
      <c r="B12" s="6">
        <f>PV(10%,4,-1000)</f>
        <v>3169.865446349295</v>
      </c>
      <c r="G12" s="56">
        <f>PV(2%,5,-1500)</f>
        <v>7070.189262756309</v>
      </c>
      <c r="H12" s="66" t="s">
        <v>63</v>
      </c>
      <c r="I12" s="55"/>
    </row>
    <row r="13" spans="7:9" ht="13.5" customHeight="1">
      <c r="G13" s="53"/>
      <c r="H13" s="54"/>
      <c r="I13" s="55"/>
    </row>
    <row r="14" spans="7:9" ht="27" thickBot="1">
      <c r="G14" s="57">
        <f>SUM(G7:G12)</f>
        <v>140891.0813096572</v>
      </c>
      <c r="H14" s="58" t="s">
        <v>64</v>
      </c>
      <c r="I14" s="59"/>
    </row>
    <row r="15" ht="11.25" customHeight="1" thickBot="1">
      <c r="B15" s="48"/>
    </row>
    <row r="16" spans="7:9" ht="26.25">
      <c r="G16" s="50"/>
      <c r="H16" s="51"/>
      <c r="I16" s="52"/>
    </row>
    <row r="17" spans="7:9" ht="26.25">
      <c r="G17" s="53" t="s">
        <v>57</v>
      </c>
      <c r="H17" s="54"/>
      <c r="I17" s="55"/>
    </row>
    <row r="18" spans="7:9" ht="26.25">
      <c r="G18" s="53"/>
      <c r="H18" s="54"/>
      <c r="I18" s="55"/>
    </row>
    <row r="19" spans="7:9" ht="27" thickBot="1">
      <c r="G19" s="57">
        <f>PV(6.6%,45,-365)</f>
        <v>5218.647586098048</v>
      </c>
      <c r="H19" s="58"/>
      <c r="I19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="85" zoomScaleNormal="85" zoomScalePageLayoutView="0" workbookViewId="0" topLeftCell="A1">
      <selection activeCell="F15" sqref="F15"/>
    </sheetView>
  </sheetViews>
  <sheetFormatPr defaultColWidth="11.421875" defaultRowHeight="15"/>
  <cols>
    <col min="1" max="1" width="3.28125" style="3" customWidth="1"/>
    <col min="2" max="2" width="12.00390625" style="3" bestFit="1" customWidth="1"/>
    <col min="3" max="16384" width="11.421875" style="3" customWidth="1"/>
  </cols>
  <sheetData>
    <row r="1" ht="12.75" customHeight="1"/>
    <row r="2" ht="26.25">
      <c r="B2" s="3" t="s">
        <v>20</v>
      </c>
    </row>
    <row r="3" ht="26.25">
      <c r="B3" s="3" t="s">
        <v>22</v>
      </c>
    </row>
    <row r="4" ht="15.75" customHeight="1"/>
    <row r="5" ht="26.25">
      <c r="B5" s="4" t="s">
        <v>21</v>
      </c>
    </row>
    <row r="6" ht="14.25" customHeight="1"/>
    <row r="7" spans="2:5" ht="26.25">
      <c r="B7" s="65" t="s">
        <v>23</v>
      </c>
      <c r="C7" s="65"/>
      <c r="D7" s="65"/>
      <c r="E7" s="65"/>
    </row>
    <row r="8" ht="27" thickBot="1"/>
    <row r="9" ht="27" thickBot="1">
      <c r="B9" s="35">
        <f>NPER(10%,-1000,,4641)</f>
        <v>3.9999999999999964</v>
      </c>
    </row>
  </sheetData>
  <sheetProtection/>
  <mergeCells count="1">
    <mergeCell ref="B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9"/>
  <sheetViews>
    <sheetView zoomScale="85" zoomScaleNormal="85" zoomScalePageLayoutView="0" workbookViewId="0" topLeftCell="A1">
      <selection activeCell="C17" sqref="C17"/>
    </sheetView>
  </sheetViews>
  <sheetFormatPr defaultColWidth="11.421875" defaultRowHeight="15"/>
  <cols>
    <col min="1" max="1" width="5.00390625" style="3" customWidth="1"/>
    <col min="2" max="2" width="17.00390625" style="3" bestFit="1" customWidth="1"/>
    <col min="3" max="16384" width="11.421875" style="3" customWidth="1"/>
  </cols>
  <sheetData>
    <row r="1" ht="15.75" customHeight="1"/>
    <row r="2" ht="26.25">
      <c r="B2" s="3" t="s">
        <v>24</v>
      </c>
    </row>
    <row r="3" ht="26.25">
      <c r="B3" s="3" t="s">
        <v>25</v>
      </c>
    </row>
    <row r="4" ht="12.75" customHeight="1"/>
    <row r="5" ht="26.25">
      <c r="B5" s="4" t="s">
        <v>27</v>
      </c>
    </row>
    <row r="6" ht="15.75" customHeight="1"/>
    <row r="7" ht="26.25">
      <c r="B7" s="4" t="s">
        <v>26</v>
      </c>
    </row>
    <row r="8" ht="27" thickBot="1"/>
    <row r="9" ht="27" thickBot="1">
      <c r="B9" s="36">
        <f>RATE(4,-1000,,4641,,)</f>
        <v>0.10000000000000016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2"/>
  <sheetViews>
    <sheetView zoomScale="85" zoomScaleNormal="85" zoomScalePageLayoutView="0" workbookViewId="0" topLeftCell="A1">
      <selection activeCell="G13" sqref="G13"/>
    </sheetView>
  </sheetViews>
  <sheetFormatPr defaultColWidth="11.421875" defaultRowHeight="15"/>
  <cols>
    <col min="1" max="1" width="5.00390625" style="3" customWidth="1"/>
    <col min="2" max="2" width="20.8515625" style="3" bestFit="1" customWidth="1"/>
    <col min="3" max="16384" width="11.421875" style="3" customWidth="1"/>
  </cols>
  <sheetData>
    <row r="1" ht="15.75" customHeight="1"/>
    <row r="2" ht="26.25">
      <c r="B2" s="3" t="s">
        <v>49</v>
      </c>
    </row>
    <row r="3" ht="26.25">
      <c r="B3" s="3" t="s">
        <v>47</v>
      </c>
    </row>
    <row r="6" ht="26.25">
      <c r="B6" s="4" t="s">
        <v>51</v>
      </c>
    </row>
    <row r="7" ht="12.75" customHeight="1"/>
    <row r="9" ht="15.75" customHeight="1"/>
    <row r="10" ht="26.25">
      <c r="B10" s="4" t="s">
        <v>50</v>
      </c>
    </row>
    <row r="11" ht="27" thickBot="1"/>
    <row r="12" ht="27" thickBot="1">
      <c r="B12" s="46">
        <f>PMT(10%,4,3169.86)</f>
        <v>-999.9982818358112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G13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2.8515625" style="0" customWidth="1"/>
    <col min="3" max="6" width="19.421875" style="0" bestFit="1" customWidth="1"/>
    <col min="7" max="7" width="22.140625" style="0" customWidth="1"/>
  </cols>
  <sheetData>
    <row r="1" ht="9" customHeight="1"/>
    <row r="2" ht="26.25">
      <c r="B2" s="3" t="s">
        <v>42</v>
      </c>
    </row>
    <row r="3" ht="8.25" customHeight="1" thickBot="1"/>
    <row r="4" spans="2:7" ht="26.25">
      <c r="B4" s="7" t="s">
        <v>0</v>
      </c>
      <c r="C4" s="8">
        <v>0.1</v>
      </c>
      <c r="D4" s="8">
        <v>0.1</v>
      </c>
      <c r="E4" s="8">
        <v>0.1</v>
      </c>
      <c r="F4" s="9">
        <v>0.1</v>
      </c>
      <c r="G4" s="10">
        <v>0.1</v>
      </c>
    </row>
    <row r="5" spans="2:7" ht="27" thickBot="1">
      <c r="B5" s="11" t="s">
        <v>1</v>
      </c>
      <c r="C5" s="42">
        <v>1</v>
      </c>
      <c r="D5" s="43">
        <v>5</v>
      </c>
      <c r="E5" s="43">
        <v>10</v>
      </c>
      <c r="F5" s="43">
        <v>100</v>
      </c>
      <c r="G5" s="43">
        <v>1000</v>
      </c>
    </row>
    <row r="6" spans="2:7" ht="15.75" customHeight="1" thickBot="1">
      <c r="B6" s="12"/>
      <c r="C6" s="13"/>
      <c r="D6" s="13"/>
      <c r="E6" s="13"/>
      <c r="F6" s="13"/>
      <c r="G6" s="13"/>
    </row>
    <row r="7" spans="2:7" ht="30.75" thickBot="1">
      <c r="B7" s="14" t="s">
        <v>6</v>
      </c>
      <c r="C7" s="15">
        <f>(1+C4)^-C5</f>
        <v>0.9090909090909091</v>
      </c>
      <c r="D7" s="15">
        <f>(1+D4)^-D5</f>
        <v>0.6209213230591549</v>
      </c>
      <c r="E7" s="15">
        <f>(1+E4)^-E5</f>
        <v>0.3855432894295315</v>
      </c>
      <c r="F7" s="15">
        <f>(1+F4)^-F5</f>
        <v>7.256571590148151E-05</v>
      </c>
      <c r="G7" s="15">
        <f>(1+G4)^-G5</f>
        <v>4.048692953196932E-42</v>
      </c>
    </row>
    <row r="8" spans="2:7" ht="15.75" customHeight="1">
      <c r="B8" s="1"/>
      <c r="C8" s="1"/>
      <c r="D8" s="1"/>
      <c r="E8" s="1"/>
      <c r="F8" s="1"/>
      <c r="G8" s="1"/>
    </row>
    <row r="9" spans="2:7" ht="25.5">
      <c r="B9" s="1"/>
      <c r="C9" s="1"/>
      <c r="D9" s="1"/>
      <c r="E9" s="1"/>
      <c r="F9" s="1"/>
      <c r="G9" s="1"/>
    </row>
    <row r="10" spans="2:7" ht="19.5" customHeight="1">
      <c r="B10" s="1"/>
      <c r="C10" s="1"/>
      <c r="D10" s="1"/>
      <c r="E10" s="1"/>
      <c r="F10" s="1"/>
      <c r="G10" s="1"/>
    </row>
    <row r="11" spans="2:7" ht="25.5">
      <c r="B11" s="1"/>
      <c r="C11" s="1"/>
      <c r="D11" s="1"/>
      <c r="E11" s="1"/>
      <c r="F11" s="1"/>
      <c r="G11" s="1"/>
    </row>
    <row r="12" spans="2:7" ht="26.25" thickBot="1">
      <c r="B12" s="1"/>
      <c r="C12" s="1"/>
      <c r="D12" s="1"/>
      <c r="E12" s="1"/>
      <c r="F12" s="1"/>
      <c r="G12" s="1"/>
    </row>
    <row r="13" spans="2:7" ht="27" thickBot="1">
      <c r="B13" s="6" t="s">
        <v>5</v>
      </c>
      <c r="C13" s="6">
        <f>(1*(1-C7))/C4</f>
        <v>0.9090909090909094</v>
      </c>
      <c r="D13" s="6">
        <f>(1*(1-D7))/D4</f>
        <v>3.7907867694084505</v>
      </c>
      <c r="E13" s="6">
        <f>(1*(1-E7))/E4</f>
        <v>6.144567105704685</v>
      </c>
      <c r="F13" s="6">
        <f>(1*(1-F7))/F4</f>
        <v>9.999274342840984</v>
      </c>
      <c r="G13" s="6">
        <f>(1*(1-G7))/G4</f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.421875" style="3" customWidth="1"/>
    <col min="2" max="2" width="26.00390625" style="3" bestFit="1" customWidth="1"/>
    <col min="3" max="3" width="13.421875" style="3" customWidth="1"/>
    <col min="4" max="5" width="13.8515625" style="3" customWidth="1"/>
    <col min="6" max="6" width="13.421875" style="3" customWidth="1"/>
    <col min="7" max="16384" width="11.421875" style="3" customWidth="1"/>
  </cols>
  <sheetData>
    <row r="1" ht="9.75" customHeight="1"/>
    <row r="2" ht="26.25">
      <c r="B2" s="3" t="s">
        <v>8</v>
      </c>
    </row>
    <row r="3" ht="26.25">
      <c r="B3" s="3" t="s">
        <v>7</v>
      </c>
    </row>
    <row r="4" ht="13.5" customHeight="1"/>
    <row r="5" ht="26.25">
      <c r="B5" s="16" t="s">
        <v>9</v>
      </c>
    </row>
    <row r="6" ht="12.75" customHeight="1"/>
    <row r="7" ht="26.25">
      <c r="B7" s="4" t="s">
        <v>10</v>
      </c>
    </row>
    <row r="8" ht="13.5" customHeight="1" thickBot="1"/>
    <row r="9" ht="27" thickBot="1">
      <c r="B9" s="2">
        <f>NPV(10%,1000,2200,500,2000)</f>
        <v>4468.957038453656</v>
      </c>
    </row>
    <row r="10" spans="3:6" ht="26.25">
      <c r="C10" s="13" t="s">
        <v>43</v>
      </c>
      <c r="D10" s="13" t="s">
        <v>44</v>
      </c>
      <c r="E10" s="13" t="s">
        <v>45</v>
      </c>
      <c r="F10" s="13" t="s">
        <v>46</v>
      </c>
    </row>
    <row r="11" spans="3:6" ht="27" thickBot="1">
      <c r="C11" s="13">
        <v>1000</v>
      </c>
      <c r="D11" s="13">
        <v>2200</v>
      </c>
      <c r="E11" s="13">
        <v>500</v>
      </c>
      <c r="F11" s="13">
        <v>2000</v>
      </c>
    </row>
    <row r="12" ht="27" thickBot="1">
      <c r="B12" s="2">
        <f>NPV(10%,C11:F11)</f>
        <v>4468.957038453656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5.00390625" style="3" customWidth="1"/>
    <col min="2" max="2" width="21.421875" style="3" customWidth="1"/>
    <col min="3" max="4" width="22.8515625" style="3" bestFit="1" customWidth="1"/>
    <col min="5" max="5" width="20.140625" style="3" customWidth="1"/>
    <col min="6" max="7" width="11.421875" style="3" customWidth="1"/>
    <col min="8" max="8" width="60.00390625" style="3" bestFit="1" customWidth="1"/>
    <col min="9" max="16384" width="11.421875" style="3" customWidth="1"/>
  </cols>
  <sheetData>
    <row r="1" spans="1:2" ht="26.25" customHeight="1">
      <c r="A1" s="44"/>
      <c r="B1" s="3" t="str">
        <f ca="1">"Calcular el valor actual de una renta, el "&amp;TEXT(TODAY(),"dd mmmm aaaa")</f>
        <v>Calcular el valor actual de una renta, el 07 febrero 2023</v>
      </c>
    </row>
    <row r="2" spans="3:8" ht="26.25">
      <c r="C2" s="3" t="str">
        <f ca="1">"De 1.000€, el "&amp;TEXT(TODAY()+1000,"dd mmmm aaaa")</f>
        <v>De 1.000€, el 03 noviembre 2025</v>
      </c>
      <c r="H2" s="44"/>
    </row>
    <row r="3" ht="26.25">
      <c r="C3" s="3" t="str">
        <f ca="1">"2.200€, el "&amp;TEXT(TODAY()+2000,"dd mmmm aaaa")</f>
        <v>2.200€, el 30 julio 2028</v>
      </c>
    </row>
    <row r="4" ht="26.25">
      <c r="C4" s="3" t="str">
        <f ca="1">"500€, el "&amp;TEXT(TODAY()+3000,"dd mmmm aaaa")</f>
        <v>500€, el 26 abril 2031</v>
      </c>
    </row>
    <row r="5" ht="26.25">
      <c r="C5" s="3" t="s">
        <v>11</v>
      </c>
    </row>
    <row r="6" ht="26.25">
      <c r="H6" s="45"/>
    </row>
    <row r="7" ht="9.75" customHeight="1"/>
    <row r="8" spans="2:5" ht="26.25">
      <c r="B8" s="17">
        <f ca="1">TODAY()</f>
        <v>44964</v>
      </c>
      <c r="C8" s="17">
        <f ca="1">TODAY()+1000</f>
        <v>45964</v>
      </c>
      <c r="D8" s="17">
        <f ca="1">TODAY()+2000</f>
        <v>46964</v>
      </c>
      <c r="E8" s="17">
        <f ca="1">TODAY()+3000</f>
        <v>47964</v>
      </c>
    </row>
    <row r="9" spans="2:5" ht="26.25">
      <c r="B9" s="18">
        <v>0</v>
      </c>
      <c r="C9" s="18">
        <v>1000</v>
      </c>
      <c r="D9" s="18">
        <v>2200</v>
      </c>
      <c r="E9" s="18">
        <v>500</v>
      </c>
    </row>
    <row r="10" ht="9.75" customHeight="1"/>
    <row r="11" ht="26.25">
      <c r="B11" s="16" t="s">
        <v>13</v>
      </c>
    </row>
    <row r="12" ht="8.25" customHeight="1"/>
    <row r="13" ht="26.25">
      <c r="B13" s="4" t="s">
        <v>12</v>
      </c>
    </row>
    <row r="14" ht="9.75" customHeight="1" thickBot="1"/>
    <row r="15" ht="27" thickBot="1">
      <c r="B15" s="2">
        <f>_XLL.VNA.NO.PER(10%,B9:E9,B8:E8)</f>
        <v>2303.6259857578157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6.7109375" style="3" customWidth="1"/>
    <col min="2" max="2" width="37.140625" style="3" customWidth="1"/>
    <col min="3" max="3" width="14.7109375" style="3" bestFit="1" customWidth="1"/>
    <col min="4" max="4" width="16.7109375" style="3" customWidth="1"/>
    <col min="5" max="5" width="11.421875" style="3" customWidth="1"/>
    <col min="6" max="6" width="12.8515625" style="3" customWidth="1"/>
    <col min="7" max="16384" width="11.421875" style="3" customWidth="1"/>
  </cols>
  <sheetData>
    <row r="1" ht="26.25">
      <c r="B1" s="3" t="s">
        <v>38</v>
      </c>
    </row>
    <row r="2" ht="10.5" customHeight="1"/>
    <row r="3" spans="2:3" ht="26.25">
      <c r="B3" s="41" t="s">
        <v>35</v>
      </c>
      <c r="C3" s="40">
        <v>0.01</v>
      </c>
    </row>
    <row r="4" spans="2:3" ht="26.25">
      <c r="B4" s="41" t="s">
        <v>34</v>
      </c>
      <c r="C4" s="3">
        <v>12</v>
      </c>
    </row>
    <row r="5" spans="2:4" ht="26.25">
      <c r="B5" s="41" t="s">
        <v>33</v>
      </c>
      <c r="C5" s="40">
        <f>C3*C4</f>
        <v>0.12</v>
      </c>
      <c r="D5" s="4" t="s">
        <v>41</v>
      </c>
    </row>
    <row r="8" ht="27" thickBot="1"/>
    <row r="9" spans="2:6" ht="27" thickBot="1">
      <c r="B9" s="3" t="s">
        <v>39</v>
      </c>
      <c r="C9" s="36">
        <f>(1+C3)^12-1</f>
        <v>0.12682503013196977</v>
      </c>
      <c r="D9" s="3" t="s">
        <v>36</v>
      </c>
      <c r="F9" s="47" t="s">
        <v>48</v>
      </c>
    </row>
    <row r="10" ht="16.5" customHeight="1" thickBot="1"/>
    <row r="11" spans="2:4" ht="27" thickBot="1">
      <c r="B11" s="3" t="s">
        <v>39</v>
      </c>
      <c r="C11" s="36">
        <f>_XLL.INT.EFECTIVO(C5,C4)</f>
        <v>0.12682503013196977</v>
      </c>
      <c r="D11" s="3" t="s">
        <v>37</v>
      </c>
    </row>
    <row r="12" ht="12" customHeight="1"/>
    <row r="13" ht="26.25">
      <c r="C13" s="4" t="s">
        <v>40</v>
      </c>
    </row>
    <row r="15" ht="26.2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Usuario</cp:lastModifiedBy>
  <dcterms:created xsi:type="dcterms:W3CDTF">2013-09-09T16:48:46Z</dcterms:created>
  <dcterms:modified xsi:type="dcterms:W3CDTF">2023-02-07T18:26:59Z</dcterms:modified>
  <cp:category/>
  <cp:version/>
  <cp:contentType/>
  <cp:contentStatus/>
</cp:coreProperties>
</file>