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tabRatio="717" firstSheet="1" activeTab="4"/>
  </bookViews>
  <sheets>
    <sheet name="introduccion" sheetId="1" r:id="rId1"/>
    <sheet name="cuentas anuales" sheetId="2" r:id="rId2"/>
    <sheet name="análisis económico" sheetId="3" r:id="rId3"/>
    <sheet name="análisis financiero" sheetId="4" r:id="rId4"/>
    <sheet name="apalancamiento" sheetId="5" r:id="rId5"/>
  </sheets>
  <definedNames>
    <definedName name="ANÁLISIS_ECONÓMICO">'análisis económico'!$E$5:$U$31</definedName>
    <definedName name="Análisis_financiero">'análisis financiero'!$D$2</definedName>
    <definedName name="apalancamiento">'apalancamiento'!$A$1</definedName>
    <definedName name="_xlnm.Print_Area" localSheetId="2">'análisis económico'!$B$1:$R$32</definedName>
    <definedName name="_xlnm.Print_Area" localSheetId="3">'análisis financiero'!$K$1:$AA$30</definedName>
    <definedName name="_xlnm.Print_Area" localSheetId="4">'apalancamiento'!$A$1:$M$49</definedName>
    <definedName name="_xlnm.Print_Area" localSheetId="1">'cuentas anuales'!$A$1:$Q$31</definedName>
    <definedName name="BAIT">'cuentas anuales'!$B$20</definedName>
    <definedName name="BAIT2001">'cuentas anuales'!$D$20</definedName>
    <definedName name="balance">'cuentas anuales'!$A$1:$L$10</definedName>
    <definedName name="CUENTA_DE_RESULTADOS">'cuentas anuales'!$A$14:$G$30</definedName>
    <definedName name="INT01">'cuentas anuales'!$D$21</definedName>
    <definedName name="NIVEL_ACTUAL">'apalancamiento'!$G$4</definedName>
  </definedNames>
  <calcPr fullCalcOnLoad="1"/>
</workbook>
</file>

<file path=xl/comments2.xml><?xml version="1.0" encoding="utf-8"?>
<comments xmlns="http://schemas.openxmlformats.org/spreadsheetml/2006/main">
  <authors>
    <author>X</author>
  </authors>
  <commentList>
    <comment ref="C29" authorId="0">
      <text>
        <r>
          <rPr>
            <b/>
            <sz val="8"/>
            <rFont val="Tahoma"/>
            <family val="0"/>
          </rPr>
          <t>X:</t>
        </r>
        <r>
          <rPr>
            <sz val="8"/>
            <rFont val="Tahoma"/>
            <family val="0"/>
          </rPr>
          <t xml:space="preserve">
Este porcentaje se ha calculado sobre el BDT y representa la cantidad de beneficio que se destina a dividendos</t>
        </r>
      </text>
    </comment>
  </commentList>
</comments>
</file>

<file path=xl/comments3.xml><?xml version="1.0" encoding="utf-8"?>
<comments xmlns="http://schemas.openxmlformats.org/spreadsheetml/2006/main">
  <authors>
    <author>X</author>
  </authors>
  <commentList>
    <comment ref="G7" authorId="0">
      <text>
        <r>
          <rPr>
            <b/>
            <sz val="8"/>
            <rFont val="Tahoma"/>
            <family val="0"/>
          </rPr>
          <t>X:</t>
        </r>
        <r>
          <rPr>
            <sz val="8"/>
            <rFont val="Tahoma"/>
            <family val="0"/>
          </rPr>
          <t xml:space="preserve">
Rentab. Econ= BAIT/AT</t>
        </r>
      </text>
    </comment>
    <comment ref="E12" authorId="0">
      <text>
        <r>
          <rPr>
            <b/>
            <sz val="8"/>
            <rFont val="Tahoma"/>
            <family val="0"/>
          </rPr>
          <t>X:</t>
        </r>
        <r>
          <rPr>
            <sz val="8"/>
            <rFont val="Tahoma"/>
            <family val="0"/>
          </rPr>
          <t xml:space="preserve">
Rentab. Comercial= VENTAS/AT</t>
        </r>
      </text>
    </comment>
    <comment ref="I12" authorId="0">
      <text>
        <r>
          <rPr>
            <b/>
            <sz val="8"/>
            <rFont val="Tahoma"/>
            <family val="0"/>
          </rPr>
          <t>X:</t>
        </r>
        <r>
          <rPr>
            <sz val="8"/>
            <rFont val="Tahoma"/>
            <family val="0"/>
          </rPr>
          <t xml:space="preserve">
Rotación activos = VENTAS/AT</t>
        </r>
      </text>
    </comment>
    <comment ref="G17" authorId="0">
      <text>
        <r>
          <rPr>
            <b/>
            <sz val="8"/>
            <rFont val="Tahoma"/>
            <family val="0"/>
          </rPr>
          <t>X:</t>
        </r>
        <r>
          <rPr>
            <sz val="8"/>
            <rFont val="Tahoma"/>
            <family val="0"/>
          </rPr>
          <t xml:space="preserve">
Rot. Activos fijos= VENTAS/AF</t>
        </r>
      </text>
    </comment>
    <comment ref="K17" authorId="0">
      <text>
        <r>
          <rPr>
            <b/>
            <sz val="8"/>
            <rFont val="Tahoma"/>
            <family val="0"/>
          </rPr>
          <t>X:</t>
        </r>
        <r>
          <rPr>
            <sz val="8"/>
            <rFont val="Tahoma"/>
            <family val="0"/>
          </rPr>
          <t xml:space="preserve">
Rot. Activos circulantes= VENTAS/AC</t>
        </r>
      </text>
    </comment>
    <comment ref="L21" authorId="0">
      <text>
        <r>
          <rPr>
            <b/>
            <sz val="8"/>
            <rFont val="Tahoma"/>
            <family val="0"/>
          </rPr>
          <t>X:</t>
        </r>
        <r>
          <rPr>
            <sz val="8"/>
            <rFont val="Tahoma"/>
            <family val="0"/>
          </rPr>
          <t xml:space="preserve">
Rot. stockss= VENTAS A PRECIO DE COSTE/STOCKS</t>
        </r>
      </text>
    </comment>
    <comment ref="L25" authorId="0">
      <text>
        <r>
          <rPr>
            <b/>
            <sz val="8"/>
            <rFont val="Tahoma"/>
            <family val="0"/>
          </rPr>
          <t>X:</t>
        </r>
        <r>
          <rPr>
            <sz val="8"/>
            <rFont val="Tahoma"/>
            <family val="0"/>
          </rPr>
          <t xml:space="preserve">
Rot. créditos= VENTAS/CLIENTES</t>
        </r>
      </text>
    </comment>
    <comment ref="L29" authorId="0">
      <text>
        <r>
          <rPr>
            <b/>
            <sz val="8"/>
            <rFont val="Tahoma"/>
            <family val="0"/>
          </rPr>
          <t>X:</t>
        </r>
        <r>
          <rPr>
            <sz val="8"/>
            <rFont val="Tahoma"/>
            <family val="0"/>
          </rPr>
          <t xml:space="preserve">
Rot. Tesorería= VENTAS/TESORERÍA</t>
        </r>
      </text>
    </comment>
  </commentList>
</comments>
</file>

<file path=xl/comments4.xml><?xml version="1.0" encoding="utf-8"?>
<comments xmlns="http://schemas.openxmlformats.org/spreadsheetml/2006/main">
  <authors>
    <author>X</author>
  </authors>
  <commentList>
    <comment ref="G6" authorId="0">
      <text>
        <r>
          <rPr>
            <b/>
            <sz val="8"/>
            <rFont val="Tahoma"/>
            <family val="0"/>
          </rPr>
          <t>X:</t>
        </r>
        <r>
          <rPr>
            <sz val="8"/>
            <rFont val="Tahoma"/>
            <family val="0"/>
          </rPr>
          <t xml:space="preserve">
RENT. FINANCIERA=BDT/RP</t>
        </r>
      </text>
    </comment>
    <comment ref="G11" authorId="0">
      <text>
        <r>
          <rPr>
            <b/>
            <sz val="8"/>
            <rFont val="Tahoma"/>
            <family val="0"/>
          </rPr>
          <t>X:</t>
        </r>
        <r>
          <rPr>
            <sz val="8"/>
            <rFont val="Tahoma"/>
            <family val="0"/>
          </rPr>
          <t xml:space="preserve">
I= INTERESES/ REC. AJENOS</t>
        </r>
      </text>
    </comment>
    <comment ref="G15" authorId="0">
      <text>
        <r>
          <rPr>
            <b/>
            <sz val="8"/>
            <rFont val="Tahoma"/>
            <family val="0"/>
          </rPr>
          <t>X:</t>
        </r>
        <r>
          <rPr>
            <sz val="8"/>
            <rFont val="Tahoma"/>
            <family val="0"/>
          </rPr>
          <t xml:space="preserve">
MARGEN FINANCIERO=REN. ECON-i</t>
        </r>
      </text>
    </comment>
    <comment ref="G20" authorId="0">
      <text>
        <r>
          <rPr>
            <b/>
            <sz val="8"/>
            <rFont val="Tahoma"/>
            <family val="0"/>
          </rPr>
          <t>X:</t>
        </r>
        <r>
          <rPr>
            <sz val="8"/>
            <rFont val="Tahoma"/>
            <family val="0"/>
          </rPr>
          <t xml:space="preserve">
FACTOR DE APALANCAMIENTO=e(RENT. FIN-i)</t>
        </r>
      </text>
    </comment>
    <comment ref="L18" authorId="0">
      <text>
        <r>
          <rPr>
            <b/>
            <sz val="8"/>
            <rFont val="Tahoma"/>
            <family val="0"/>
          </rPr>
          <t>X:</t>
        </r>
        <r>
          <rPr>
            <sz val="8"/>
            <rFont val="Tahoma"/>
            <family val="0"/>
          </rPr>
          <t xml:space="preserve">
RATIO DE CIRCULANTE = AC/PC</t>
        </r>
      </text>
    </comment>
    <comment ref="L22" authorId="0">
      <text>
        <r>
          <rPr>
            <b/>
            <sz val="8"/>
            <rFont val="Tahoma"/>
            <family val="0"/>
          </rPr>
          <t>X:</t>
        </r>
        <r>
          <rPr>
            <sz val="8"/>
            <rFont val="Tahoma"/>
            <family val="0"/>
          </rPr>
          <t xml:space="preserve">
PRUEBA DE ACIDEZ=(AC-STOCKS)/PC</t>
        </r>
      </text>
    </comment>
    <comment ref="L26" authorId="0">
      <text>
        <r>
          <rPr>
            <b/>
            <sz val="8"/>
            <rFont val="Tahoma"/>
            <family val="0"/>
          </rPr>
          <t>X:</t>
        </r>
        <r>
          <rPr>
            <sz val="8"/>
            <rFont val="Tahoma"/>
            <family val="0"/>
          </rPr>
          <t xml:space="preserve">
RATIO DE TESORERÍA=TESORERÍA/PC</t>
        </r>
      </text>
    </comment>
    <comment ref="P18" authorId="0">
      <text>
        <r>
          <rPr>
            <b/>
            <sz val="8"/>
            <rFont val="Tahoma"/>
            <family val="0"/>
          </rPr>
          <t>X:</t>
        </r>
        <r>
          <rPr>
            <sz val="8"/>
            <rFont val="Tahoma"/>
            <family val="0"/>
          </rPr>
          <t xml:space="preserve">
PERIODO DE COBRO=CLIENTES/(VENTAS/360)</t>
        </r>
      </text>
    </comment>
    <comment ref="P22" authorId="0">
      <text>
        <r>
          <rPr>
            <b/>
            <sz val="8"/>
            <rFont val="Tahoma"/>
            <family val="0"/>
          </rPr>
          <t>X:</t>
        </r>
        <r>
          <rPr>
            <sz val="8"/>
            <rFont val="Tahoma"/>
            <family val="0"/>
          </rPr>
          <t xml:space="preserve">
PERIODO DE PAGO=PROVEED/(COMPRAS/360)</t>
        </r>
      </text>
    </comment>
    <comment ref="P25" authorId="0">
      <text>
        <r>
          <rPr>
            <b/>
            <sz val="8"/>
            <rFont val="Tahoma"/>
            <family val="0"/>
          </rPr>
          <t>X:</t>
        </r>
        <r>
          <rPr>
            <sz val="8"/>
            <rFont val="Tahoma"/>
            <family val="0"/>
          </rPr>
          <t xml:space="preserve">
COMPRAS=CONSUMOS+STOCKS01-STOCKS00</t>
        </r>
      </text>
    </comment>
    <comment ref="U14" authorId="0">
      <text>
        <r>
          <rPr>
            <b/>
            <sz val="8"/>
            <rFont val="Tahoma"/>
            <family val="0"/>
          </rPr>
          <t>X:</t>
        </r>
        <r>
          <rPr>
            <sz val="8"/>
            <rFont val="Tahoma"/>
            <family val="0"/>
          </rPr>
          <t xml:space="preserve">
E=RA/RP</t>
        </r>
      </text>
    </comment>
    <comment ref="U18" authorId="0">
      <text>
        <r>
          <rPr>
            <b/>
            <sz val="8"/>
            <rFont val="Tahoma"/>
            <family val="0"/>
          </rPr>
          <t>X:</t>
        </r>
        <r>
          <rPr>
            <sz val="8"/>
            <rFont val="Tahoma"/>
            <family val="0"/>
          </rPr>
          <t xml:space="preserve">
ESTR. ENDEUD=RA CORTO PLAZO/RA</t>
        </r>
      </text>
    </comment>
    <comment ref="Y14" authorId="0">
      <text>
        <r>
          <rPr>
            <b/>
            <sz val="8"/>
            <rFont val="Tahoma"/>
            <family val="0"/>
          </rPr>
          <t>X:</t>
        </r>
        <r>
          <rPr>
            <sz val="8"/>
            <rFont val="Tahoma"/>
            <family val="0"/>
          </rPr>
          <t xml:space="preserve">
COBERT. INT=BAIT/INTERESES</t>
        </r>
      </text>
    </comment>
    <comment ref="Y18" authorId="0">
      <text>
        <r>
          <rPr>
            <b/>
            <sz val="8"/>
            <rFont val="Tahoma"/>
            <family val="0"/>
          </rPr>
          <t>X:</t>
        </r>
        <r>
          <rPr>
            <sz val="8"/>
            <rFont val="Tahoma"/>
            <family val="0"/>
          </rPr>
          <t xml:space="preserve">
COBERT. CARGA FINAN=BAIT/(INT+(DEVOLUCIÓN PRINCIPAL/(1-T)))</t>
        </r>
      </text>
    </comment>
  </commentList>
</comments>
</file>

<file path=xl/comments5.xml><?xml version="1.0" encoding="utf-8"?>
<comments xmlns="http://schemas.openxmlformats.org/spreadsheetml/2006/main">
  <authors>
    <author>X</author>
  </authors>
  <commentList>
    <comment ref="A9" authorId="0">
      <text>
        <r>
          <rPr>
            <b/>
            <sz val="8"/>
            <rFont val="Tahoma"/>
            <family val="0"/>
          </rPr>
          <t>X:</t>
        </r>
        <r>
          <rPr>
            <sz val="8"/>
            <rFont val="Tahoma"/>
            <family val="0"/>
          </rPr>
          <t xml:space="preserve">
APALANCAMIENTO OPERATIVO=1+(CF/BAIT)</t>
        </r>
      </text>
    </comment>
    <comment ref="A10" authorId="0">
      <text>
        <r>
          <rPr>
            <b/>
            <sz val="8"/>
            <rFont val="Tahoma"/>
            <family val="0"/>
          </rPr>
          <t>X:</t>
        </r>
        <r>
          <rPr>
            <sz val="8"/>
            <rFont val="Tahoma"/>
            <family val="0"/>
          </rPr>
          <t xml:space="preserve">
PMO PTS= CF PTS/(1-CV/V)</t>
        </r>
      </text>
    </comment>
    <comment ref="A11" authorId="0">
      <text>
        <r>
          <rPr>
            <b/>
            <sz val="8"/>
            <rFont val="Tahoma"/>
            <family val="0"/>
          </rPr>
          <t>X:</t>
        </r>
        <r>
          <rPr>
            <sz val="8"/>
            <rFont val="Tahoma"/>
            <family val="0"/>
          </rPr>
          <t xml:space="preserve">
PMO%=PMO PTS/VENTAS</t>
        </r>
      </text>
    </comment>
    <comment ref="A14" authorId="0">
      <text>
        <r>
          <rPr>
            <b/>
            <sz val="8"/>
            <rFont val="Tahoma"/>
            <family val="0"/>
          </rPr>
          <t>X:</t>
        </r>
        <r>
          <rPr>
            <sz val="8"/>
            <rFont val="Tahoma"/>
            <family val="0"/>
          </rPr>
          <t xml:space="preserve">
APALANCAMIENTO FINANCIERO=BAIT/BAT</t>
        </r>
      </text>
    </comment>
    <comment ref="A15" authorId="0">
      <text>
        <r>
          <rPr>
            <b/>
            <sz val="8"/>
            <rFont val="Tahoma"/>
            <family val="0"/>
          </rPr>
          <t>X:</t>
        </r>
        <r>
          <rPr>
            <sz val="8"/>
            <rFont val="Tahoma"/>
            <family val="0"/>
          </rPr>
          <t xml:space="preserve">
APAL. TOTAL=APAL. FINANCIERO*APAL. OPERATIVO</t>
        </r>
      </text>
    </comment>
    <comment ref="A16" authorId="0">
      <text>
        <r>
          <rPr>
            <b/>
            <sz val="8"/>
            <rFont val="Tahoma"/>
            <family val="0"/>
          </rPr>
          <t>X:</t>
        </r>
        <r>
          <rPr>
            <sz val="8"/>
            <rFont val="Tahoma"/>
            <family val="0"/>
          </rPr>
          <t xml:space="preserve">
PMT PTS= CF + INTERESES/(1-CV/V)</t>
        </r>
      </text>
    </comment>
    <comment ref="A17" authorId="0">
      <text>
        <r>
          <rPr>
            <b/>
            <sz val="8"/>
            <rFont val="Tahoma"/>
            <family val="0"/>
          </rPr>
          <t>X:</t>
        </r>
        <r>
          <rPr>
            <sz val="8"/>
            <rFont val="Tahoma"/>
            <family val="0"/>
          </rPr>
          <t xml:space="preserve">
PMT%=PMT PTS/VENTAS</t>
        </r>
      </text>
    </comment>
  </commentList>
</comments>
</file>

<file path=xl/sharedStrings.xml><?xml version="1.0" encoding="utf-8"?>
<sst xmlns="http://schemas.openxmlformats.org/spreadsheetml/2006/main" count="184" uniqueCount="104">
  <si>
    <t>PASIVO</t>
  </si>
  <si>
    <t>Efectivo y valores negociables</t>
  </si>
  <si>
    <t>Proveedores</t>
  </si>
  <si>
    <t>Cuentas por cobrar</t>
  </si>
  <si>
    <t>Total pasivo circulante</t>
  </si>
  <si>
    <t>Inventarios</t>
  </si>
  <si>
    <t>Otros</t>
  </si>
  <si>
    <t>Total recursos ajenos</t>
  </si>
  <si>
    <t>Total activo circulante</t>
  </si>
  <si>
    <t>Capital</t>
  </si>
  <si>
    <t>Beneficios retenidos (reservas)</t>
  </si>
  <si>
    <t>Total activo fijo</t>
  </si>
  <si>
    <t>Total recursos propios</t>
  </si>
  <si>
    <t>TOTAL ACTIVO</t>
  </si>
  <si>
    <t xml:space="preserve">TOTAL PASIVO   </t>
  </si>
  <si>
    <t>CUENTA DE RESULTADOS</t>
  </si>
  <si>
    <t>Ventas</t>
  </si>
  <si>
    <t>Costes fijos</t>
  </si>
  <si>
    <t>Costes variables</t>
  </si>
  <si>
    <t>Depreciación</t>
  </si>
  <si>
    <t>BAIT</t>
  </si>
  <si>
    <t>Intereses</t>
  </si>
  <si>
    <t>BAT</t>
  </si>
  <si>
    <t>BDT</t>
  </si>
  <si>
    <t>Dividendos</t>
  </si>
  <si>
    <t>Beneficios retenidos</t>
  </si>
  <si>
    <t>ANÁLISIS ECONÓMICO</t>
  </si>
  <si>
    <t>RENTABILIDAD ECONOMICA</t>
  </si>
  <si>
    <t>RIESGO ECONÓMICO</t>
  </si>
  <si>
    <t>Rentabilidad comercial</t>
  </si>
  <si>
    <t>Rotación sobre activos</t>
  </si>
  <si>
    <t xml:space="preserve">      -Rotación activos fijos</t>
  </si>
  <si>
    <t>Apalancamiento operativo</t>
  </si>
  <si>
    <t xml:space="preserve">      -Rotación activo circulante </t>
  </si>
  <si>
    <t xml:space="preserve">      -Rotación stocks</t>
  </si>
  <si>
    <t xml:space="preserve">      -Rotación deudores</t>
  </si>
  <si>
    <t>ANÁLISIS FINANCIERO</t>
  </si>
  <si>
    <t>RENTABILIDAD FINANCIERA</t>
  </si>
  <si>
    <t>APALANCAMIENTO FINANCIERO</t>
  </si>
  <si>
    <t>Coste financiero</t>
  </si>
  <si>
    <t>Factor de apalancamiento</t>
  </si>
  <si>
    <t>Margen de apalancamiento</t>
  </si>
  <si>
    <t>Apalancamiento financiero</t>
  </si>
  <si>
    <t>Apalancamiento total</t>
  </si>
  <si>
    <t>LIQUIDEZ</t>
  </si>
  <si>
    <t>Ratio de liquidez</t>
  </si>
  <si>
    <t>Prueba del ácido</t>
  </si>
  <si>
    <t>Ratio de tesorería</t>
  </si>
  <si>
    <t>Periodo de cobro</t>
  </si>
  <si>
    <t>Periodo de pago</t>
  </si>
  <si>
    <t>ESTRUCTURA DEL PASIVO</t>
  </si>
  <si>
    <t>Ratio de endeudamiento</t>
  </si>
  <si>
    <t>Estructura de endeudamiento</t>
  </si>
  <si>
    <t>COBERTURA</t>
  </si>
  <si>
    <t>Cobertura intereses</t>
  </si>
  <si>
    <t>Cobertura cagas financieras</t>
  </si>
  <si>
    <t>Incremento ventas</t>
  </si>
  <si>
    <t>%00</t>
  </si>
  <si>
    <t>%01</t>
  </si>
  <si>
    <t>% crec</t>
  </si>
  <si>
    <t>Rotación de activos</t>
  </si>
  <si>
    <t>Rotación A. Fijos</t>
  </si>
  <si>
    <t>Rotación A. Circulante</t>
  </si>
  <si>
    <t>Rot. Stocks</t>
  </si>
  <si>
    <t>Rot. Créditos</t>
  </si>
  <si>
    <t>Rot. Tesorería</t>
  </si>
  <si>
    <t>RENTABILIDAD ECONÓMICA</t>
  </si>
  <si>
    <t>LIQUIDEZ Y SOLVENCIA</t>
  </si>
  <si>
    <t>RATIO DE ENDEUDAMIENTO</t>
  </si>
  <si>
    <t>ESTRUCTURA DE ENDEUDAMIENTO</t>
  </si>
  <si>
    <t>COBERTURA DE INTERESES</t>
  </si>
  <si>
    <t>RATIO DE SOLVENCIA</t>
  </si>
  <si>
    <t>RATIO DE CIRCULANTE</t>
  </si>
  <si>
    <t>PRUEBA DE ACIDEZ</t>
  </si>
  <si>
    <t>RATIO DE TESORERÍA</t>
  </si>
  <si>
    <t>DATOS MEDIOS DEL SECTOR PARA 00-01</t>
  </si>
  <si>
    <t>APALANC. OPERATIVO</t>
  </si>
  <si>
    <t>P. M. ECONÓMICO</t>
  </si>
  <si>
    <t>PERIODO DE PAGO</t>
  </si>
  <si>
    <t>PERIODO DE COBRO</t>
  </si>
  <si>
    <t>COSTES DE RECURSOS AJENOS (i)</t>
  </si>
  <si>
    <t>MARGEN FINANCIERO</t>
  </si>
  <si>
    <t>FACTOR DE APALANCAMIENTO</t>
  </si>
  <si>
    <t>COMPRAS</t>
  </si>
  <si>
    <t>NIVEL ACTUAL</t>
  </si>
  <si>
    <t>Punto muerto operativo pts</t>
  </si>
  <si>
    <t>Punto muerto operativo %</t>
  </si>
  <si>
    <t>Punto muerto total pts</t>
  </si>
  <si>
    <t>Punto muerto total %</t>
  </si>
  <si>
    <t>A. financiero</t>
  </si>
  <si>
    <t>A. total</t>
  </si>
  <si>
    <t>A. operativo</t>
  </si>
  <si>
    <t>RIESGO FINANCIERO</t>
  </si>
  <si>
    <t>APALANCAMIENTO</t>
  </si>
  <si>
    <t>Activo fijo neto</t>
  </si>
  <si>
    <t>Deuda a largo plazo</t>
  </si>
  <si>
    <t>Impuestos</t>
  </si>
  <si>
    <t xml:space="preserve"> </t>
  </si>
  <si>
    <t>Ventas netas</t>
  </si>
  <si>
    <t>COBERT. CARGA FINANCIERA</t>
  </si>
  <si>
    <t>Ratio de solvencia</t>
  </si>
  <si>
    <t>Otras deudas a corto plazo</t>
  </si>
  <si>
    <t>Punto muerto operativo</t>
  </si>
  <si>
    <t>Punto muerto total</t>
  </si>
</sst>
</file>

<file path=xl/styles.xml><?xml version="1.0" encoding="utf-8"?>
<styleSheet xmlns="http://schemas.openxmlformats.org/spreadsheetml/2006/main">
  <numFmts count="29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"/>
    <numFmt numFmtId="173" formatCode="0.0000%"/>
    <numFmt numFmtId="174" formatCode="0.000%"/>
    <numFmt numFmtId="175" formatCode="0.00000"/>
    <numFmt numFmtId="176" formatCode="0.00000%"/>
    <numFmt numFmtId="177" formatCode="0.000000"/>
    <numFmt numFmtId="178" formatCode="0.0000"/>
    <numFmt numFmtId="179" formatCode="0.0%"/>
    <numFmt numFmtId="180" formatCode="0.0"/>
    <numFmt numFmtId="181" formatCode="_-* #,##0.000\ _p_t_a_-;\-* #,##0.000\ _p_t_a_-;_-* &quot;-&quot;???\ _p_t_a_-;_-@_-"/>
    <numFmt numFmtId="182" formatCode="_-* #,##0.0\ _p_t_a_-;\-* #,##0.0\ _p_t_a_-;_-* &quot;-&quot;\ _p_t_a_-;_-@_-"/>
    <numFmt numFmtId="183" formatCode="_-* #,##0.00\ _p_t_a_-;\-* #,##0.00\ _p_t_a_-;_-* &quot;-&quot;\ _p_t_a_-;_-@_-"/>
    <numFmt numFmtId="184" formatCode="_-* #,##0.000\ _p_t_a_-;\-* #,##0.000\ _p_t_a_-;_-* &quot;-&quot;\ _p_t_a_-;_-@_-"/>
  </numFmts>
  <fonts count="13">
    <font>
      <sz val="10"/>
      <name val="Arial"/>
      <family val="0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5.75"/>
      <name val="Arial"/>
      <family val="2"/>
    </font>
    <font>
      <b/>
      <sz val="5.75"/>
      <name val="Arial"/>
      <family val="2"/>
    </font>
    <font>
      <sz val="6"/>
      <name val="Arial"/>
      <family val="2"/>
    </font>
    <font>
      <sz val="5"/>
      <name val="Arial"/>
      <family val="2"/>
    </font>
    <font>
      <sz val="8"/>
      <name val="Tahoma"/>
      <family val="0"/>
    </font>
    <font>
      <b/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1" fillId="0" borderId="0" xfId="0" applyFont="1" applyAlignment="1">
      <alignment/>
    </xf>
    <xf numFmtId="169" fontId="1" fillId="0" borderId="1" xfId="18" applyFont="1" applyBorder="1" applyAlignment="1">
      <alignment horizontal="centerContinuous"/>
    </xf>
    <xf numFmtId="169" fontId="1" fillId="0" borderId="2" xfId="18" applyFont="1" applyBorder="1" applyAlignment="1">
      <alignment horizontal="centerContinuous"/>
    </xf>
    <xf numFmtId="169" fontId="1" fillId="0" borderId="3" xfId="18" applyFont="1" applyBorder="1" applyAlignment="1">
      <alignment/>
    </xf>
    <xf numFmtId="169" fontId="1" fillId="0" borderId="4" xfId="18" applyFont="1" applyBorder="1" applyAlignment="1">
      <alignment/>
    </xf>
    <xf numFmtId="169" fontId="1" fillId="2" borderId="1" xfId="18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1" fontId="3" fillId="0" borderId="0" xfId="0" applyNumberFormat="1" applyFont="1" applyFill="1" applyBorder="1" applyAlignment="1">
      <alignment/>
    </xf>
    <xf numFmtId="0" fontId="3" fillId="3" borderId="5" xfId="0" applyFont="1" applyFill="1" applyBorder="1" applyAlignment="1">
      <alignment horizontal="center"/>
    </xf>
    <xf numFmtId="9" fontId="3" fillId="3" borderId="5" xfId="21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9" fontId="3" fillId="4" borderId="5" xfId="21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9" fontId="3" fillId="5" borderId="5" xfId="2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9" fontId="3" fillId="0" borderId="0" xfId="2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5" borderId="6" xfId="0" applyFont="1" applyFill="1" applyBorder="1" applyAlignment="1">
      <alignment horizontal="center"/>
    </xf>
    <xf numFmtId="169" fontId="1" fillId="6" borderId="4" xfId="18" applyFont="1" applyFill="1" applyBorder="1" applyAlignment="1">
      <alignment/>
    </xf>
    <xf numFmtId="0" fontId="1" fillId="6" borderId="0" xfId="0" applyFont="1" applyFill="1" applyAlignment="1">
      <alignment/>
    </xf>
    <xf numFmtId="0" fontId="0" fillId="0" borderId="0" xfId="0" applyBorder="1" applyAlignment="1">
      <alignment shrinkToFit="1"/>
    </xf>
    <xf numFmtId="0" fontId="2" fillId="5" borderId="7" xfId="0" applyFont="1" applyFill="1" applyBorder="1" applyAlignment="1">
      <alignment horizontal="center" shrinkToFit="1"/>
    </xf>
    <xf numFmtId="0" fontId="2" fillId="0" borderId="0" xfId="0" applyFont="1" applyFill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8" xfId="0" applyFont="1" applyBorder="1" applyAlignment="1" quotePrefix="1">
      <alignment horizontal="left"/>
    </xf>
    <xf numFmtId="0" fontId="3" fillId="0" borderId="8" xfId="0" applyFont="1" applyFill="1" applyBorder="1" applyAlignment="1">
      <alignment/>
    </xf>
    <xf numFmtId="0" fontId="3" fillId="0" borderId="9" xfId="0" applyFont="1" applyBorder="1" applyAlignment="1" quotePrefix="1">
      <alignment horizontal="left"/>
    </xf>
    <xf numFmtId="183" fontId="3" fillId="4" borderId="5" xfId="18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172" fontId="2" fillId="0" borderId="0" xfId="0" applyNumberFormat="1" applyFont="1" applyFill="1" applyBorder="1" applyAlignment="1">
      <alignment horizontal="centerContinuous"/>
    </xf>
    <xf numFmtId="0" fontId="3" fillId="0" borderId="0" xfId="0" applyFont="1" applyFill="1" applyBorder="1" applyAlignment="1" quotePrefix="1">
      <alignment horizontal="left"/>
    </xf>
    <xf numFmtId="9" fontId="3" fillId="0" borderId="0" xfId="21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 horizontal="centerContinuous"/>
    </xf>
    <xf numFmtId="10" fontId="3" fillId="0" borderId="0" xfId="21" applyNumberFormat="1" applyFont="1" applyFill="1" applyBorder="1" applyAlignment="1">
      <alignment/>
    </xf>
    <xf numFmtId="1" fontId="3" fillId="0" borderId="0" xfId="21" applyNumberFormat="1" applyFont="1" applyFill="1" applyBorder="1" applyAlignment="1">
      <alignment/>
    </xf>
    <xf numFmtId="169" fontId="3" fillId="5" borderId="5" xfId="18" applyFont="1" applyFill="1" applyBorder="1" applyAlignment="1">
      <alignment horizontal="center"/>
    </xf>
    <xf numFmtId="182" fontId="3" fillId="5" borderId="5" xfId="18" applyNumberFormat="1" applyFont="1" applyFill="1" applyBorder="1" applyAlignment="1">
      <alignment horizontal="center"/>
    </xf>
    <xf numFmtId="183" fontId="3" fillId="5" borderId="5" xfId="18" applyNumberFormat="1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183" fontId="3" fillId="5" borderId="9" xfId="18" applyNumberFormat="1" applyFont="1" applyFill="1" applyBorder="1" applyAlignment="1">
      <alignment horizontal="center"/>
    </xf>
    <xf numFmtId="183" fontId="3" fillId="5" borderId="11" xfId="18" applyNumberFormat="1" applyFont="1" applyFill="1" applyBorder="1" applyAlignment="1">
      <alignment horizontal="center"/>
    </xf>
    <xf numFmtId="9" fontId="3" fillId="5" borderId="12" xfId="21" applyFont="1" applyFill="1" applyBorder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Fill="1" applyBorder="1" applyAlignment="1">
      <alignment/>
    </xf>
    <xf numFmtId="172" fontId="3" fillId="0" borderId="4" xfId="0" applyNumberFormat="1" applyFont="1" applyFill="1" applyBorder="1" applyAlignment="1">
      <alignment/>
    </xf>
    <xf numFmtId="2" fontId="3" fillId="0" borderId="13" xfId="21" applyNumberFormat="1" applyFont="1" applyFill="1" applyBorder="1" applyAlignment="1">
      <alignment/>
    </xf>
    <xf numFmtId="172" fontId="3" fillId="0" borderId="1" xfId="0" applyNumberFormat="1" applyFont="1" applyFill="1" applyBorder="1" applyAlignment="1">
      <alignment/>
    </xf>
    <xf numFmtId="2" fontId="3" fillId="0" borderId="13" xfId="18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172" fontId="3" fillId="0" borderId="1" xfId="0" applyNumberFormat="1" applyFont="1" applyFill="1" applyBorder="1" applyAlignment="1">
      <alignment horizontal="center"/>
    </xf>
    <xf numFmtId="2" fontId="3" fillId="0" borderId="0" xfId="0" applyNumberFormat="1" applyFont="1" applyFill="1" applyAlignment="1">
      <alignment/>
    </xf>
    <xf numFmtId="169" fontId="1" fillId="0" borderId="2" xfId="18" applyFont="1" applyBorder="1" applyAlignment="1">
      <alignment horizontal="center"/>
    </xf>
    <xf numFmtId="169" fontId="1" fillId="0" borderId="0" xfId="18" applyFont="1" applyFill="1" applyBorder="1" applyAlignment="1">
      <alignment/>
    </xf>
    <xf numFmtId="184" fontId="1" fillId="0" borderId="0" xfId="18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69" fontId="1" fillId="6" borderId="1" xfId="18" applyFont="1" applyFill="1" applyBorder="1" applyAlignment="1">
      <alignment/>
    </xf>
    <xf numFmtId="0" fontId="1" fillId="0" borderId="14" xfId="0" applyFont="1" applyBorder="1" applyAlignment="1">
      <alignment/>
    </xf>
    <xf numFmtId="169" fontId="1" fillId="0" borderId="15" xfId="18" applyFont="1" applyFill="1" applyBorder="1" applyAlignment="1">
      <alignment horizontal="center"/>
    </xf>
    <xf numFmtId="169" fontId="1" fillId="0" borderId="16" xfId="18" applyFont="1" applyFill="1" applyBorder="1" applyAlignment="1">
      <alignment horizontal="center"/>
    </xf>
    <xf numFmtId="169" fontId="1" fillId="0" borderId="14" xfId="18" applyFont="1" applyFill="1" applyBorder="1" applyAlignment="1">
      <alignment horizontal="center"/>
    </xf>
    <xf numFmtId="184" fontId="1" fillId="0" borderId="16" xfId="18" applyNumberFormat="1" applyFont="1" applyFill="1" applyBorder="1" applyAlignment="1">
      <alignment horizontal="center"/>
    </xf>
    <xf numFmtId="9" fontId="1" fillId="0" borderId="16" xfId="21" applyFont="1" applyFill="1" applyBorder="1" applyAlignment="1">
      <alignment horizontal="center"/>
    </xf>
    <xf numFmtId="183" fontId="1" fillId="0" borderId="16" xfId="18" applyNumberFormat="1" applyFont="1" applyFill="1" applyBorder="1" applyAlignment="1">
      <alignment horizontal="center"/>
    </xf>
    <xf numFmtId="179" fontId="1" fillId="0" borderId="14" xfId="21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169" fontId="0" fillId="3" borderId="5" xfId="18" applyFill="1" applyBorder="1" applyAlignment="1" applyProtection="1">
      <alignment/>
      <protection hidden="1" locked="0"/>
    </xf>
    <xf numFmtId="169" fontId="0" fillId="3" borderId="5" xfId="18" applyFont="1" applyFill="1" applyBorder="1" applyAlignment="1" applyProtection="1">
      <alignment/>
      <protection hidden="1" locked="0"/>
    </xf>
    <xf numFmtId="169" fontId="0" fillId="0" borderId="5" xfId="18" applyBorder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169" fontId="0" fillId="3" borderId="5" xfId="18" applyFill="1" applyBorder="1" applyAlignment="1" applyProtection="1">
      <alignment horizontal="center"/>
      <protection/>
    </xf>
    <xf numFmtId="169" fontId="0" fillId="0" borderId="5" xfId="18" applyFont="1" applyBorder="1" applyAlignment="1" applyProtection="1">
      <alignment horizontal="centerContinuous"/>
      <protection/>
    </xf>
    <xf numFmtId="169" fontId="0" fillId="0" borderId="5" xfId="18" applyFont="1" applyBorder="1" applyAlignment="1" applyProtection="1">
      <alignment horizontal="center"/>
      <protection/>
    </xf>
    <xf numFmtId="169" fontId="0" fillId="0" borderId="5" xfId="18" applyBorder="1" applyAlignment="1" applyProtection="1">
      <alignment/>
      <protection/>
    </xf>
    <xf numFmtId="169" fontId="0" fillId="3" borderId="5" xfId="18" applyFill="1" applyBorder="1" applyAlignment="1" applyProtection="1">
      <alignment horizontal="centerContinuous"/>
      <protection/>
    </xf>
    <xf numFmtId="9" fontId="0" fillId="0" borderId="5" xfId="21" applyBorder="1" applyAlignment="1" applyProtection="1">
      <alignment/>
      <protection/>
    </xf>
    <xf numFmtId="169" fontId="0" fillId="0" borderId="5" xfId="18" applyFont="1" applyBorder="1" applyAlignment="1" applyProtection="1">
      <alignment/>
      <protection/>
    </xf>
    <xf numFmtId="169" fontId="0" fillId="2" borderId="5" xfId="18" applyFill="1" applyBorder="1" applyAlignment="1" applyProtection="1">
      <alignment/>
      <protection/>
    </xf>
    <xf numFmtId="169" fontId="0" fillId="2" borderId="5" xfId="18" applyFont="1" applyFill="1" applyBorder="1" applyAlignment="1" applyProtection="1">
      <alignment/>
      <protection/>
    </xf>
    <xf numFmtId="169" fontId="0" fillId="0" borderId="5" xfId="18" applyFont="1" applyFill="1" applyBorder="1" applyAlignment="1" applyProtection="1">
      <alignment/>
      <protection/>
    </xf>
    <xf numFmtId="169" fontId="0" fillId="0" borderId="5" xfId="18" applyFill="1" applyBorder="1" applyAlignment="1" applyProtection="1">
      <alignment/>
      <protection/>
    </xf>
    <xf numFmtId="169" fontId="0" fillId="0" borderId="0" xfId="18" applyFill="1" applyBorder="1" applyAlignment="1" applyProtection="1">
      <alignment/>
      <protection/>
    </xf>
    <xf numFmtId="169" fontId="0" fillId="0" borderId="0" xfId="18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9" fontId="0" fillId="0" borderId="0" xfId="0" applyNumberFormat="1" applyFill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9" fontId="0" fillId="0" borderId="17" xfId="21" applyBorder="1" applyAlignment="1" applyProtection="1">
      <alignment/>
      <protection/>
    </xf>
    <xf numFmtId="169" fontId="0" fillId="3" borderId="5" xfId="18" applyFill="1" applyBorder="1" applyAlignment="1" applyProtection="1">
      <alignment horizontal="center"/>
      <protection hidden="1" locked="0"/>
    </xf>
    <xf numFmtId="169" fontId="0" fillId="3" borderId="17" xfId="0" applyNumberFormat="1" applyFill="1" applyBorder="1" applyAlignment="1" applyProtection="1">
      <alignment/>
      <protection hidden="1" locked="0"/>
    </xf>
    <xf numFmtId="169" fontId="0" fillId="3" borderId="18" xfId="0" applyNumberFormat="1" applyFill="1" applyBorder="1" applyAlignment="1" applyProtection="1">
      <alignment/>
      <protection hidden="1" locked="0"/>
    </xf>
    <xf numFmtId="9" fontId="0" fillId="0" borderId="0" xfId="21" applyBorder="1" applyAlignment="1" applyProtection="1">
      <alignment/>
      <protection/>
    </xf>
    <xf numFmtId="9" fontId="0" fillId="0" borderId="0" xfId="21" applyFont="1" applyBorder="1" applyAlignment="1" applyProtection="1">
      <alignment/>
      <protection/>
    </xf>
    <xf numFmtId="10" fontId="3" fillId="0" borderId="19" xfId="21" applyNumberFormat="1" applyFont="1" applyBorder="1" applyAlignment="1">
      <alignment/>
    </xf>
    <xf numFmtId="169" fontId="3" fillId="0" borderId="19" xfId="18" applyNumberFormat="1" applyFont="1" applyBorder="1" applyAlignment="1">
      <alignment/>
    </xf>
    <xf numFmtId="0" fontId="3" fillId="0" borderId="20" xfId="0" applyFont="1" applyBorder="1" applyAlignment="1" quotePrefix="1">
      <alignment horizontal="left"/>
    </xf>
    <xf numFmtId="10" fontId="3" fillId="0" borderId="21" xfId="21" applyNumberFormat="1" applyFont="1" applyBorder="1" applyAlignment="1">
      <alignment/>
    </xf>
    <xf numFmtId="169" fontId="3" fillId="0" borderId="22" xfId="18" applyFont="1" applyBorder="1" applyAlignment="1">
      <alignment/>
    </xf>
    <xf numFmtId="0" fontId="3" fillId="0" borderId="20" xfId="0" applyFont="1" applyFill="1" applyBorder="1" applyAlignment="1">
      <alignment/>
    </xf>
    <xf numFmtId="9" fontId="3" fillId="0" borderId="21" xfId="21" applyNumberFormat="1" applyFont="1" applyFill="1" applyBorder="1" applyAlignment="1">
      <alignment/>
    </xf>
    <xf numFmtId="9" fontId="3" fillId="0" borderId="10" xfId="21" applyNumberFormat="1" applyFont="1" applyFill="1" applyBorder="1" applyAlignment="1">
      <alignment/>
    </xf>
    <xf numFmtId="0" fontId="3" fillId="0" borderId="9" xfId="0" applyFont="1" applyBorder="1" applyAlignment="1">
      <alignment/>
    </xf>
    <xf numFmtId="9" fontId="3" fillId="0" borderId="12" xfId="21" applyNumberFormat="1" applyFont="1" applyFill="1" applyBorder="1" applyAlignment="1">
      <alignment/>
    </xf>
    <xf numFmtId="172" fontId="3" fillId="0" borderId="3" xfId="0" applyNumberFormat="1" applyFont="1" applyFill="1" applyBorder="1" applyAlignment="1">
      <alignment horizontal="centerContinuous"/>
    </xf>
    <xf numFmtId="183" fontId="3" fillId="0" borderId="18" xfId="18" applyNumberFormat="1" applyFont="1" applyFill="1" applyBorder="1" applyAlignment="1">
      <alignment/>
    </xf>
    <xf numFmtId="9" fontId="0" fillId="0" borderId="7" xfId="21" applyBorder="1" applyAlignment="1" applyProtection="1">
      <alignment/>
      <protection/>
    </xf>
    <xf numFmtId="169" fontId="0" fillId="3" borderId="15" xfId="0" applyNumberFormat="1" applyFill="1" applyBorder="1" applyAlignment="1" applyProtection="1">
      <alignment/>
      <protection hidden="1" locked="0"/>
    </xf>
    <xf numFmtId="169" fontId="0" fillId="3" borderId="14" xfId="0" applyNumberFormat="1" applyFill="1" applyBorder="1" applyAlignment="1" applyProtection="1">
      <alignment/>
      <protection hidden="1" locked="0"/>
    </xf>
    <xf numFmtId="2" fontId="3" fillId="0" borderId="18" xfId="18" applyNumberFormat="1" applyFont="1" applyFill="1" applyBorder="1" applyAlignment="1">
      <alignment/>
    </xf>
    <xf numFmtId="179" fontId="3" fillId="0" borderId="10" xfId="21" applyNumberFormat="1" applyFont="1" applyFill="1" applyBorder="1" applyAlignment="1">
      <alignment/>
    </xf>
    <xf numFmtId="182" fontId="3" fillId="0" borderId="17" xfId="18" applyNumberFormat="1" applyFont="1" applyFill="1" applyBorder="1" applyAlignment="1">
      <alignment horizontal="centerContinuous"/>
    </xf>
    <xf numFmtId="182" fontId="3" fillId="0" borderId="13" xfId="18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72" fontId="3" fillId="0" borderId="0" xfId="21" applyNumberFormat="1" applyFont="1" applyBorder="1" applyAlignment="1">
      <alignment horizontal="centerContinuous"/>
    </xf>
    <xf numFmtId="172" fontId="3" fillId="0" borderId="0" xfId="0" applyNumberFormat="1" applyFont="1" applyBorder="1" applyAlignment="1">
      <alignment/>
    </xf>
    <xf numFmtId="178" fontId="3" fillId="0" borderId="0" xfId="21" applyNumberFormat="1" applyFont="1" applyBorder="1" applyAlignment="1">
      <alignment/>
    </xf>
    <xf numFmtId="172" fontId="3" fillId="0" borderId="0" xfId="0" applyNumberFormat="1" applyFont="1" applyBorder="1" applyAlignment="1" quotePrefix="1">
      <alignment horizontal="left"/>
    </xf>
    <xf numFmtId="0" fontId="0" fillId="5" borderId="4" xfId="0" applyFill="1" applyBorder="1" applyAlignment="1" applyProtection="1">
      <alignment/>
      <protection/>
    </xf>
    <xf numFmtId="0" fontId="0" fillId="5" borderId="13" xfId="0" applyFill="1" applyBorder="1" applyAlignment="1" applyProtection="1">
      <alignment/>
      <protection hidden="1" locked="0"/>
    </xf>
    <xf numFmtId="0" fontId="0" fillId="5" borderId="23" xfId="0" applyFill="1" applyBorder="1" applyAlignment="1" applyProtection="1">
      <alignment/>
      <protection/>
    </xf>
    <xf numFmtId="0" fontId="0" fillId="5" borderId="24" xfId="0" applyFill="1" applyBorder="1" applyAlignment="1" applyProtection="1">
      <alignment/>
      <protection hidden="1" locked="0"/>
    </xf>
    <xf numFmtId="0" fontId="0" fillId="5" borderId="1" xfId="0" applyFill="1" applyBorder="1" applyAlignment="1" applyProtection="1">
      <alignment/>
      <protection/>
    </xf>
    <xf numFmtId="0" fontId="0" fillId="5" borderId="18" xfId="0" applyFill="1" applyBorder="1" applyAlignment="1" applyProtection="1">
      <alignment/>
      <protection hidden="1" locked="0"/>
    </xf>
    <xf numFmtId="0" fontId="0" fillId="5" borderId="3" xfId="0" applyFill="1" applyBorder="1" applyAlignment="1" applyProtection="1">
      <alignment/>
      <protection/>
    </xf>
    <xf numFmtId="0" fontId="0" fillId="5" borderId="25" xfId="0" applyFill="1" applyBorder="1" applyAlignment="1" applyProtection="1">
      <alignment/>
      <protection/>
    </xf>
    <xf numFmtId="0" fontId="0" fillId="5" borderId="0" xfId="0" applyFill="1" applyBorder="1" applyAlignment="1" applyProtection="1">
      <alignment/>
      <protection/>
    </xf>
    <xf numFmtId="0" fontId="0" fillId="5" borderId="2" xfId="0" applyFill="1" applyBorder="1" applyAlignment="1" applyProtection="1">
      <alignment/>
      <protection/>
    </xf>
    <xf numFmtId="0" fontId="3" fillId="7" borderId="20" xfId="0" applyFont="1" applyFill="1" applyBorder="1" applyAlignment="1">
      <alignment horizontal="center"/>
    </xf>
    <xf numFmtId="0" fontId="3" fillId="7" borderId="26" xfId="0" applyFont="1" applyFill="1" applyBorder="1" applyAlignment="1">
      <alignment horizontal="center"/>
    </xf>
    <xf numFmtId="0" fontId="3" fillId="7" borderId="21" xfId="0" applyFont="1" applyFill="1" applyBorder="1" applyAlignment="1">
      <alignment horizontal="center"/>
    </xf>
    <xf numFmtId="9" fontId="3" fillId="7" borderId="9" xfId="21" applyFont="1" applyFill="1" applyBorder="1" applyAlignment="1">
      <alignment horizontal="center"/>
    </xf>
    <xf numFmtId="9" fontId="3" fillId="7" borderId="11" xfId="21" applyFont="1" applyFill="1" applyBorder="1" applyAlignment="1">
      <alignment horizontal="center"/>
    </xf>
    <xf numFmtId="9" fontId="3" fillId="7" borderId="12" xfId="21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9" fontId="3" fillId="7" borderId="5" xfId="21" applyFont="1" applyFill="1" applyBorder="1" applyAlignment="1">
      <alignment horizontal="center"/>
    </xf>
    <xf numFmtId="0" fontId="0" fillId="7" borderId="3" xfId="0" applyFill="1" applyBorder="1" applyAlignment="1" applyProtection="1">
      <alignment/>
      <protection/>
    </xf>
    <xf numFmtId="9" fontId="0" fillId="7" borderId="17" xfId="0" applyNumberFormat="1" applyFill="1" applyBorder="1" applyAlignment="1" applyProtection="1">
      <alignment/>
      <protection hidden="1" locked="0"/>
    </xf>
    <xf numFmtId="0" fontId="0" fillId="7" borderId="4" xfId="0" applyFill="1" applyBorder="1" applyAlignment="1" applyProtection="1">
      <alignment/>
      <protection/>
    </xf>
    <xf numFmtId="10" fontId="0" fillId="7" borderId="13" xfId="0" applyNumberFormat="1" applyFill="1" applyBorder="1" applyAlignment="1" applyProtection="1">
      <alignment/>
      <protection hidden="1" locked="0"/>
    </xf>
    <xf numFmtId="0" fontId="0" fillId="7" borderId="13" xfId="0" applyFill="1" applyBorder="1" applyAlignment="1" applyProtection="1">
      <alignment/>
      <protection hidden="1" locked="0"/>
    </xf>
    <xf numFmtId="0" fontId="0" fillId="7" borderId="1" xfId="0" applyFill="1" applyBorder="1" applyAlignment="1" applyProtection="1">
      <alignment/>
      <protection/>
    </xf>
    <xf numFmtId="0" fontId="0" fillId="7" borderId="18" xfId="0" applyFill="1" applyBorder="1" applyAlignment="1" applyProtection="1">
      <alignment/>
      <protection hidden="1" locked="0"/>
    </xf>
    <xf numFmtId="179" fontId="0" fillId="7" borderId="17" xfId="0" applyNumberFormat="1" applyFill="1" applyBorder="1" applyAlignment="1" applyProtection="1">
      <alignment/>
      <protection hidden="1" locked="0"/>
    </xf>
    <xf numFmtId="179" fontId="0" fillId="7" borderId="13" xfId="21" applyNumberFormat="1" applyFill="1" applyBorder="1" applyAlignment="1" applyProtection="1">
      <alignment/>
      <protection hidden="1" locked="0"/>
    </xf>
    <xf numFmtId="9" fontId="0" fillId="7" borderId="13" xfId="0" applyNumberFormat="1" applyFill="1" applyBorder="1" applyAlignment="1" applyProtection="1">
      <alignment/>
      <protection hidden="1" locked="0"/>
    </xf>
    <xf numFmtId="0" fontId="0" fillId="7" borderId="13" xfId="0" applyFill="1" applyBorder="1" applyAlignment="1" applyProtection="1">
      <alignment/>
      <protection/>
    </xf>
    <xf numFmtId="9" fontId="0" fillId="7" borderId="13" xfId="0" applyNumberFormat="1" applyFill="1" applyBorder="1" applyAlignment="1" applyProtection="1">
      <alignment/>
      <protection/>
    </xf>
    <xf numFmtId="0" fontId="0" fillId="7" borderId="18" xfId="0" applyFill="1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5" borderId="17" xfId="0" applyFill="1" applyBorder="1" applyAlignment="1" applyProtection="1">
      <alignment/>
      <protection hidden="1" locked="0"/>
    </xf>
    <xf numFmtId="9" fontId="0" fillId="5" borderId="13" xfId="0" applyNumberFormat="1" applyFill="1" applyBorder="1" applyAlignment="1" applyProtection="1">
      <alignment/>
      <protection/>
    </xf>
    <xf numFmtId="9" fontId="0" fillId="5" borderId="18" xfId="0" applyNumberFormat="1" applyFill="1" applyBorder="1" applyAlignment="1" applyProtection="1">
      <alignment/>
      <protection hidden="1" locked="0"/>
    </xf>
    <xf numFmtId="172" fontId="3" fillId="0" borderId="3" xfId="0" applyNumberFormat="1" applyFont="1" applyFill="1" applyBorder="1" applyAlignment="1">
      <alignment horizontal="left"/>
    </xf>
    <xf numFmtId="0" fontId="1" fillId="0" borderId="17" xfId="0" applyFont="1" applyFill="1" applyBorder="1" applyAlignment="1">
      <alignment/>
    </xf>
    <xf numFmtId="9" fontId="1" fillId="0" borderId="18" xfId="21" applyFont="1" applyFill="1" applyBorder="1" applyAlignment="1">
      <alignment/>
    </xf>
    <xf numFmtId="9" fontId="1" fillId="0" borderId="17" xfId="21" applyFont="1" applyFill="1" applyBorder="1" applyAlignment="1">
      <alignment/>
    </xf>
    <xf numFmtId="169" fontId="1" fillId="2" borderId="27" xfId="18" applyFont="1" applyFill="1" applyBorder="1" applyAlignment="1">
      <alignment/>
    </xf>
    <xf numFmtId="169" fontId="1" fillId="0" borderId="0" xfId="18" applyFont="1" applyBorder="1" applyAlignment="1">
      <alignment horizontal="centerContinuous"/>
    </xf>
    <xf numFmtId="169" fontId="1" fillId="8" borderId="17" xfId="18" applyFont="1" applyFill="1" applyBorder="1" applyAlignment="1">
      <alignment horizontal="center"/>
    </xf>
    <xf numFmtId="169" fontId="1" fillId="8" borderId="13" xfId="18" applyFont="1" applyFill="1" applyBorder="1" applyAlignment="1">
      <alignment horizontal="center"/>
    </xf>
    <xf numFmtId="169" fontId="1" fillId="8" borderId="18" xfId="18" applyFont="1" applyFill="1" applyBorder="1" applyAlignment="1">
      <alignment horizontal="center"/>
    </xf>
    <xf numFmtId="184" fontId="1" fillId="8" borderId="13" xfId="18" applyNumberFormat="1" applyFont="1" applyFill="1" applyBorder="1" applyAlignment="1">
      <alignment horizontal="center"/>
    </xf>
    <xf numFmtId="9" fontId="1" fillId="8" borderId="13" xfId="21" applyFont="1" applyFill="1" applyBorder="1" applyAlignment="1">
      <alignment horizontal="center"/>
    </xf>
    <xf numFmtId="183" fontId="1" fillId="8" borderId="13" xfId="18" applyNumberFormat="1" applyFont="1" applyFill="1" applyBorder="1" applyAlignment="1">
      <alignment horizontal="center"/>
    </xf>
    <xf numFmtId="179" fontId="1" fillId="8" borderId="18" xfId="21" applyNumberFormat="1" applyFont="1" applyFill="1" applyBorder="1" applyAlignment="1">
      <alignment horizontal="center"/>
    </xf>
    <xf numFmtId="169" fontId="1" fillId="8" borderId="28" xfId="18" applyFont="1" applyFill="1" applyBorder="1" applyAlignment="1">
      <alignment horizontal="center"/>
    </xf>
    <xf numFmtId="169" fontId="1" fillId="0" borderId="25" xfId="18" applyFont="1" applyFill="1" applyBorder="1" applyAlignment="1">
      <alignment/>
    </xf>
    <xf numFmtId="169" fontId="1" fillId="0" borderId="2" xfId="18" applyFont="1" applyFill="1" applyBorder="1" applyAlignment="1">
      <alignment/>
    </xf>
    <xf numFmtId="169" fontId="1" fillId="0" borderId="7" xfId="18" applyFont="1" applyFill="1" applyBorder="1" applyAlignment="1">
      <alignment horizontal="center"/>
    </xf>
    <xf numFmtId="0" fontId="0" fillId="0" borderId="0" xfId="0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center"/>
      <protection/>
    </xf>
    <xf numFmtId="10" fontId="3" fillId="7" borderId="5" xfId="21" applyNumberFormat="1" applyFont="1" applyFill="1" applyBorder="1" applyAlignment="1">
      <alignment horizontal="center"/>
    </xf>
    <xf numFmtId="10" fontId="3" fillId="7" borderId="11" xfId="21" applyNumberFormat="1" applyFont="1" applyFill="1" applyBorder="1" applyAlignment="1">
      <alignment horizontal="center"/>
    </xf>
    <xf numFmtId="10" fontId="3" fillId="7" borderId="9" xfId="21" applyNumberFormat="1" applyFont="1" applyFill="1" applyBorder="1" applyAlignment="1">
      <alignment horizontal="center"/>
    </xf>
    <xf numFmtId="169" fontId="0" fillId="0" borderId="0" xfId="18" applyFill="1" applyBorder="1" applyAlignment="1" applyProtection="1">
      <alignment horizontal="center" vertical="center" wrapText="1"/>
      <protection/>
    </xf>
    <xf numFmtId="169" fontId="0" fillId="0" borderId="5" xfId="18" applyBorder="1" applyAlignment="1" applyProtection="1">
      <alignment horizontal="center"/>
      <protection/>
    </xf>
    <xf numFmtId="169" fontId="0" fillId="0" borderId="5" xfId="18" applyFont="1" applyBorder="1" applyAlignment="1" applyProtection="1">
      <alignment horizontal="center"/>
      <protection/>
    </xf>
    <xf numFmtId="0" fontId="0" fillId="0" borderId="29" xfId="0" applyFont="1" applyBorder="1" applyAlignment="1" applyProtection="1">
      <alignment horizontal="center"/>
      <protection/>
    </xf>
    <xf numFmtId="0" fontId="0" fillId="0" borderId="28" xfId="0" applyFont="1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5" borderId="3" xfId="0" applyFill="1" applyBorder="1" applyAlignment="1" applyProtection="1">
      <alignment horizontal="center" vertical="center"/>
      <protection/>
    </xf>
    <xf numFmtId="0" fontId="0" fillId="5" borderId="17" xfId="0" applyFill="1" applyBorder="1" applyAlignment="1" applyProtection="1">
      <alignment vertical="center"/>
      <protection/>
    </xf>
    <xf numFmtId="0" fontId="0" fillId="5" borderId="4" xfId="0" applyFill="1" applyBorder="1" applyAlignment="1" applyProtection="1">
      <alignment vertical="center"/>
      <protection/>
    </xf>
    <xf numFmtId="0" fontId="0" fillId="5" borderId="13" xfId="0" applyFill="1" applyBorder="1" applyAlignment="1" applyProtection="1">
      <alignment vertical="center"/>
      <protection/>
    </xf>
    <xf numFmtId="0" fontId="0" fillId="5" borderId="1" xfId="0" applyFill="1" applyBorder="1" applyAlignment="1" applyProtection="1">
      <alignment vertical="center"/>
      <protection/>
    </xf>
    <xf numFmtId="0" fontId="0" fillId="5" borderId="18" xfId="0" applyFill="1" applyBorder="1" applyAlignment="1" applyProtection="1">
      <alignment vertical="center"/>
      <protection/>
    </xf>
    <xf numFmtId="0" fontId="0" fillId="5" borderId="23" xfId="0" applyFill="1" applyBorder="1" applyAlignment="1" applyProtection="1">
      <alignment horizontal="center"/>
      <protection/>
    </xf>
    <xf numFmtId="0" fontId="0" fillId="5" borderId="24" xfId="0" applyFill="1" applyBorder="1" applyAlignment="1" applyProtection="1">
      <alignment horizontal="center"/>
      <protection/>
    </xf>
    <xf numFmtId="0" fontId="0" fillId="5" borderId="30" xfId="0" applyFill="1" applyBorder="1" applyAlignment="1" applyProtection="1">
      <alignment horizontal="center"/>
      <protection/>
    </xf>
    <xf numFmtId="0" fontId="0" fillId="5" borderId="31" xfId="0" applyFill="1" applyBorder="1" applyAlignment="1" applyProtection="1">
      <alignment horizontal="center"/>
      <protection/>
    </xf>
    <xf numFmtId="0" fontId="3" fillId="4" borderId="5" xfId="0" applyFont="1" applyFill="1" applyBorder="1" applyAlignment="1">
      <alignment horizontal="center"/>
    </xf>
    <xf numFmtId="0" fontId="5" fillId="9" borderId="3" xfId="15" applyFill="1" applyBorder="1" applyAlignment="1">
      <alignment horizontal="center" vertical="center"/>
    </xf>
    <xf numFmtId="0" fontId="5" fillId="9" borderId="25" xfId="15" applyFill="1" applyBorder="1" applyAlignment="1">
      <alignment horizontal="center" vertical="center"/>
    </xf>
    <xf numFmtId="0" fontId="5" fillId="9" borderId="17" xfId="15" applyFill="1" applyBorder="1" applyAlignment="1">
      <alignment horizontal="center" vertical="center"/>
    </xf>
    <xf numFmtId="0" fontId="5" fillId="9" borderId="4" xfId="15" applyFill="1" applyBorder="1" applyAlignment="1">
      <alignment horizontal="center" vertical="center"/>
    </xf>
    <xf numFmtId="0" fontId="5" fillId="9" borderId="0" xfId="15" applyFill="1" applyBorder="1" applyAlignment="1">
      <alignment horizontal="center" vertical="center"/>
    </xf>
    <xf numFmtId="0" fontId="5" fillId="9" borderId="13" xfId="15" applyFill="1" applyBorder="1" applyAlignment="1">
      <alignment horizontal="center" vertical="center"/>
    </xf>
    <xf numFmtId="0" fontId="5" fillId="9" borderId="1" xfId="15" applyFill="1" applyBorder="1" applyAlignment="1">
      <alignment horizontal="center" vertical="center"/>
    </xf>
    <xf numFmtId="0" fontId="5" fillId="9" borderId="2" xfId="15" applyFill="1" applyBorder="1" applyAlignment="1">
      <alignment horizontal="center" vertical="center"/>
    </xf>
    <xf numFmtId="0" fontId="5" fillId="9" borderId="18" xfId="15" applyFill="1" applyBorder="1" applyAlignment="1">
      <alignment horizontal="center" vertical="center"/>
    </xf>
    <xf numFmtId="0" fontId="5" fillId="5" borderId="27" xfId="15" applyFill="1" applyBorder="1" applyAlignment="1">
      <alignment horizontal="center"/>
    </xf>
    <xf numFmtId="0" fontId="5" fillId="5" borderId="29" xfId="15" applyFill="1" applyBorder="1" applyAlignment="1">
      <alignment horizontal="center"/>
    </xf>
    <xf numFmtId="0" fontId="5" fillId="5" borderId="28" xfId="15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1" fillId="7" borderId="32" xfId="0" applyFont="1" applyFill="1" applyBorder="1" applyAlignment="1">
      <alignment horizontal="center"/>
    </xf>
    <xf numFmtId="0" fontId="1" fillId="7" borderId="33" xfId="0" applyFont="1" applyFill="1" applyBorder="1" applyAlignment="1">
      <alignment horizontal="center"/>
    </xf>
    <xf numFmtId="0" fontId="1" fillId="7" borderId="3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5" borderId="27" xfId="0" applyFont="1" applyFill="1" applyBorder="1" applyAlignment="1">
      <alignment horizontal="center" shrinkToFit="1"/>
    </xf>
    <xf numFmtId="0" fontId="0" fillId="0" borderId="29" xfId="0" applyBorder="1" applyAlignment="1">
      <alignment shrinkToFit="1"/>
    </xf>
    <xf numFmtId="0" fontId="0" fillId="0" borderId="28" xfId="0" applyBorder="1" applyAlignment="1">
      <alignment shrinkToFit="1"/>
    </xf>
    <xf numFmtId="0" fontId="2" fillId="5" borderId="35" xfId="0" applyFont="1" applyFill="1" applyBorder="1" applyAlignment="1">
      <alignment horizontal="center"/>
    </xf>
    <xf numFmtId="0" fontId="2" fillId="5" borderId="36" xfId="0" applyFont="1" applyFill="1" applyBorder="1" applyAlignment="1">
      <alignment horizontal="center"/>
    </xf>
    <xf numFmtId="0" fontId="2" fillId="5" borderId="37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 vertical="center"/>
    </xf>
    <xf numFmtId="0" fontId="4" fillId="9" borderId="25" xfId="0" applyFont="1" applyFill="1" applyBorder="1" applyAlignment="1">
      <alignment horizontal="center" vertical="center"/>
    </xf>
    <xf numFmtId="0" fontId="4" fillId="9" borderId="17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4" fillId="9" borderId="0" xfId="0" applyFont="1" applyFill="1" applyBorder="1" applyAlignment="1">
      <alignment horizontal="center" vertical="center"/>
    </xf>
    <xf numFmtId="0" fontId="4" fillId="9" borderId="13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0" fontId="4" fillId="9" borderId="18" xfId="0" applyFont="1" applyFill="1" applyBorder="1" applyAlignment="1">
      <alignment horizontal="center" vertical="center"/>
    </xf>
    <xf numFmtId="0" fontId="5" fillId="5" borderId="27" xfId="15" applyFill="1" applyBorder="1" applyAlignment="1">
      <alignment horizontal="center" shrinkToFit="1"/>
    </xf>
    <xf numFmtId="0" fontId="5" fillId="0" borderId="29" xfId="15" applyBorder="1" applyAlignment="1">
      <alignment shrinkToFit="1"/>
    </xf>
    <xf numFmtId="0" fontId="5" fillId="0" borderId="28" xfId="15" applyBorder="1" applyAlignment="1">
      <alignment shrinkToFit="1"/>
    </xf>
    <xf numFmtId="0" fontId="2" fillId="5" borderId="5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/>
    </xf>
    <xf numFmtId="0" fontId="1" fillId="7" borderId="29" xfId="0" applyFont="1" applyFill="1" applyBorder="1" applyAlignment="1">
      <alignment horizontal="center"/>
    </xf>
    <xf numFmtId="0" fontId="1" fillId="7" borderId="28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2" fontId="3" fillId="0" borderId="17" xfId="0" applyNumberFormat="1" applyFont="1" applyFill="1" applyBorder="1" applyAlignment="1">
      <alignment horizontal="center"/>
    </xf>
    <xf numFmtId="2" fontId="3" fillId="0" borderId="27" xfId="0" applyNumberFormat="1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/>
    </xf>
    <xf numFmtId="2" fontId="3" fillId="0" borderId="28" xfId="0" applyNumberFormat="1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169" fontId="1" fillId="0" borderId="3" xfId="18" applyFont="1" applyBorder="1" applyAlignment="1">
      <alignment horizontal="center"/>
    </xf>
    <xf numFmtId="169" fontId="1" fillId="0" borderId="25" xfId="18" applyFont="1" applyBorder="1" applyAlignment="1">
      <alignment horizontal="center"/>
    </xf>
    <xf numFmtId="169" fontId="1" fillId="0" borderId="17" xfId="18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font>
        <color rgb="FFFFFFFF"/>
      </font>
      <border/>
    </dxf>
    <dxf>
      <font>
        <color rgb="FFFF0000"/>
      </font>
      <fill>
        <patternFill>
          <bgColor rgb="FFCCFF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apalancamiento!$A$8</c:f>
              <c:strCache>
                <c:ptCount val="1"/>
                <c:pt idx="0">
                  <c:v>BAIT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00FF"/>
              </a:solidFill>
            </c:spPr>
          </c:dPt>
          <c:dLbls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apalancamiento!$B$4:$K$4</c:f>
              <c:numCache/>
            </c:numRef>
          </c:cat>
          <c:val>
            <c:numRef>
              <c:f>apalancamiento!$B$8:$K$8</c:f>
              <c:numCache/>
            </c:numRef>
          </c:val>
        </c:ser>
        <c:ser>
          <c:idx val="2"/>
          <c:order val="1"/>
          <c:tx>
            <c:strRef>
              <c:f>apalancamiento!$A$13</c:f>
              <c:strCache>
                <c:ptCount val="1"/>
                <c:pt idx="0">
                  <c:v>BAT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00"/>
              </a:solidFill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numRef>
              <c:f>apalancamiento!$B$4:$K$4</c:f>
              <c:numCache/>
            </c:numRef>
          </c:cat>
          <c:val>
            <c:numRef>
              <c:f>apalancamiento!$B$13:$K$13</c:f>
              <c:numCache/>
            </c:numRef>
          </c:val>
        </c:ser>
        <c:axId val="65248172"/>
        <c:axId val="50362637"/>
      </c:barChart>
      <c:catAx>
        <c:axId val="65248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1" i="0" u="none" baseline="0">
                <a:latin typeface="Arial"/>
                <a:ea typeface="Arial"/>
                <a:cs typeface="Arial"/>
              </a:defRPr>
            </a:pPr>
          </a:p>
        </c:txPr>
        <c:crossAx val="50362637"/>
        <c:crosses val="autoZero"/>
        <c:auto val="1"/>
        <c:lblOffset val="100"/>
        <c:noMultiLvlLbl val="0"/>
      </c:catAx>
      <c:valAx>
        <c:axId val="503626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652481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apalancamiento!$A$9</c:f>
              <c:strCache>
                <c:ptCount val="1"/>
                <c:pt idx="0">
                  <c:v>Apalancamiento operativo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apalancamiento!$B$4:$K$4</c:f>
              <c:numCache/>
            </c:numRef>
          </c:cat>
          <c:val>
            <c:numRef>
              <c:f>apalancamiento!$B$9:$K$9</c:f>
              <c:numCache/>
            </c:numRef>
          </c:val>
          <c:smooth val="0"/>
        </c:ser>
        <c:ser>
          <c:idx val="1"/>
          <c:order val="1"/>
          <c:tx>
            <c:strRef>
              <c:f>apalancamiento!$A$14</c:f>
              <c:strCache>
                <c:ptCount val="1"/>
                <c:pt idx="0">
                  <c:v>Apalancamiento financiero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apalancamiento!$B$4:$K$4</c:f>
              <c:numCache/>
            </c:numRef>
          </c:cat>
          <c:val>
            <c:numRef>
              <c:f>apalancamiento!$B$14:$K$14</c:f>
              <c:numCache/>
            </c:numRef>
          </c:val>
          <c:smooth val="0"/>
        </c:ser>
        <c:marker val="1"/>
        <c:axId val="50610550"/>
        <c:axId val="52841767"/>
      </c:lineChart>
      <c:catAx>
        <c:axId val="50610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841767"/>
        <c:crosses val="autoZero"/>
        <c:auto val="1"/>
        <c:lblOffset val="100"/>
        <c:noMultiLvlLbl val="0"/>
      </c:catAx>
      <c:valAx>
        <c:axId val="52841767"/>
        <c:scaling>
          <c:orientation val="minMax"/>
          <c:max val="10"/>
          <c:min val="-22"/>
        </c:scaling>
        <c:axPos val="l"/>
        <c:delete val="0"/>
        <c:numFmt formatCode="General" sourceLinked="1"/>
        <c:majorTickMark val="out"/>
        <c:minorTickMark val="none"/>
        <c:tickLblPos val="nextTo"/>
        <c:crossAx val="506105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cuentas anuales'!N1" /><Relationship Id="rId2" Type="http://schemas.openxmlformats.org/officeDocument/2006/relationships/hyperlink" Target="#'an&#225;lisis financiero'!A1" /><Relationship Id="rId3" Type="http://schemas.openxmlformats.org/officeDocument/2006/relationships/hyperlink" Target="#'cuentas anuales'!A1" /><Relationship Id="rId4" Type="http://schemas.openxmlformats.org/officeDocument/2006/relationships/hyperlink" Target="#'cuentas anuales'!A14" /><Relationship Id="rId5" Type="http://schemas.openxmlformats.org/officeDocument/2006/relationships/hyperlink" Target="#'an&#225;lisis econ&#243;mico'!b1" /><Relationship Id="rId6" Type="http://schemas.openxmlformats.org/officeDocument/2006/relationships/hyperlink" Target="#apalancamiento!A1" /><Relationship Id="rId7" Type="http://schemas.openxmlformats.org/officeDocument/2006/relationships/hyperlink" Target="#'an&#225;lisis econ&#243;mico'!B6" /><Relationship Id="rId8" Type="http://schemas.openxmlformats.org/officeDocument/2006/relationships/hyperlink" Target="#'an&#225;lisis financiero'!A6" /><Relationship Id="rId9" Type="http://schemas.openxmlformats.org/officeDocument/2006/relationships/hyperlink" Target="#'an&#225;lisis financiero'!U1" /><Relationship Id="rId10" Type="http://schemas.openxmlformats.org/officeDocument/2006/relationships/hyperlink" Target="#apalancamiento!L2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742950</xdr:colOff>
      <xdr:row>11</xdr:row>
      <xdr:rowOff>28575</xdr:rowOff>
    </xdr:from>
    <xdr:to>
      <xdr:col>8</xdr:col>
      <xdr:colOff>9525</xdr:colOff>
      <xdr:row>20</xdr:row>
      <xdr:rowOff>47625</xdr:rowOff>
    </xdr:to>
    <xdr:sp>
      <xdr:nvSpPr>
        <xdr:cNvPr id="1" name="Rectangle 11">
          <a:hlinkClick r:id="rId1"/>
        </xdr:cNvPr>
        <xdr:cNvSpPr>
          <a:spLocks/>
        </xdr:cNvSpPr>
      </xdr:nvSpPr>
      <xdr:spPr>
        <a:xfrm>
          <a:off x="3790950" y="1809750"/>
          <a:ext cx="2314575" cy="14763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DATOS DEL SECTOR
</a:t>
          </a:r>
        </a:p>
      </xdr:txBody>
    </xdr:sp>
    <xdr:clientData/>
  </xdr:twoCellAnchor>
  <xdr:twoCellAnchor>
    <xdr:from>
      <xdr:col>4</xdr:col>
      <xdr:colOff>752475</xdr:colOff>
      <xdr:row>1</xdr:row>
      <xdr:rowOff>85725</xdr:rowOff>
    </xdr:from>
    <xdr:to>
      <xdr:col>8</xdr:col>
      <xdr:colOff>0</xdr:colOff>
      <xdr:row>3</xdr:row>
      <xdr:rowOff>152400</xdr:rowOff>
    </xdr:to>
    <xdr:sp>
      <xdr:nvSpPr>
        <xdr:cNvPr id="2" name="Rectangle 6">
          <a:hlinkClick r:id="rId2"/>
        </xdr:cNvPr>
        <xdr:cNvSpPr>
          <a:spLocks/>
        </xdr:cNvSpPr>
      </xdr:nvSpPr>
      <xdr:spPr>
        <a:xfrm>
          <a:off x="3800475" y="247650"/>
          <a:ext cx="2295525" cy="390525"/>
        </a:xfrm>
        <a:prstGeom prst="rect">
          <a:avLst/>
        </a:prstGeom>
        <a:solidFill>
          <a:srgbClr val="00CC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Análisis financiero</a:t>
          </a:r>
        </a:p>
      </xdr:txBody>
    </xdr:sp>
    <xdr:clientData/>
  </xdr:twoCellAnchor>
  <xdr:twoCellAnchor>
    <xdr:from>
      <xdr:col>1</xdr:col>
      <xdr:colOff>9525</xdr:colOff>
      <xdr:row>1</xdr:row>
      <xdr:rowOff>85725</xdr:rowOff>
    </xdr:from>
    <xdr:to>
      <xdr:col>4</xdr:col>
      <xdr:colOff>19050</xdr:colOff>
      <xdr:row>3</xdr:row>
      <xdr:rowOff>152400</xdr:rowOff>
    </xdr:to>
    <xdr:sp>
      <xdr:nvSpPr>
        <xdr:cNvPr id="3" name="Rectangle 7">
          <a:hlinkClick r:id="rId3"/>
        </xdr:cNvPr>
        <xdr:cNvSpPr>
          <a:spLocks/>
        </xdr:cNvSpPr>
      </xdr:nvSpPr>
      <xdr:spPr>
        <a:xfrm>
          <a:off x="771525" y="247650"/>
          <a:ext cx="2295525" cy="390525"/>
        </a:xfrm>
        <a:prstGeom prst="rect">
          <a:avLst/>
        </a:prstGeom>
        <a:solidFill>
          <a:srgbClr val="00CC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Balance</a:t>
          </a:r>
        </a:p>
      </xdr:txBody>
    </xdr:sp>
    <xdr:clientData/>
  </xdr:twoCellAnchor>
  <xdr:twoCellAnchor>
    <xdr:from>
      <xdr:col>1</xdr:col>
      <xdr:colOff>9525</xdr:colOff>
      <xdr:row>6</xdr:row>
      <xdr:rowOff>9525</xdr:rowOff>
    </xdr:from>
    <xdr:to>
      <xdr:col>4</xdr:col>
      <xdr:colOff>19050</xdr:colOff>
      <xdr:row>8</xdr:row>
      <xdr:rowOff>76200</xdr:rowOff>
    </xdr:to>
    <xdr:sp>
      <xdr:nvSpPr>
        <xdr:cNvPr id="4" name="Rectangle 8">
          <a:hlinkClick r:id="rId4"/>
        </xdr:cNvPr>
        <xdr:cNvSpPr>
          <a:spLocks/>
        </xdr:cNvSpPr>
      </xdr:nvSpPr>
      <xdr:spPr>
        <a:xfrm>
          <a:off x="771525" y="981075"/>
          <a:ext cx="2295525" cy="390525"/>
        </a:xfrm>
        <a:prstGeom prst="rect">
          <a:avLst/>
        </a:prstGeom>
        <a:solidFill>
          <a:srgbClr val="00CC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Cuenta de resultados</a:t>
          </a:r>
        </a:p>
      </xdr:txBody>
    </xdr:sp>
    <xdr:clientData/>
  </xdr:twoCellAnchor>
  <xdr:twoCellAnchor>
    <xdr:from>
      <xdr:col>0</xdr:col>
      <xdr:colOff>752475</xdr:colOff>
      <xdr:row>11</xdr:row>
      <xdr:rowOff>19050</xdr:rowOff>
    </xdr:from>
    <xdr:to>
      <xdr:col>4</xdr:col>
      <xdr:colOff>0</xdr:colOff>
      <xdr:row>13</xdr:row>
      <xdr:rowOff>85725</xdr:rowOff>
    </xdr:to>
    <xdr:sp>
      <xdr:nvSpPr>
        <xdr:cNvPr id="5" name="Rectangle 9">
          <a:hlinkClick r:id="rId5"/>
        </xdr:cNvPr>
        <xdr:cNvSpPr>
          <a:spLocks/>
        </xdr:cNvSpPr>
      </xdr:nvSpPr>
      <xdr:spPr>
        <a:xfrm>
          <a:off x="752475" y="1800225"/>
          <a:ext cx="2295525" cy="390525"/>
        </a:xfrm>
        <a:prstGeom prst="rect">
          <a:avLst/>
        </a:prstGeom>
        <a:solidFill>
          <a:srgbClr val="00CC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Análisis económico</a:t>
          </a:r>
        </a:p>
      </xdr:txBody>
    </xdr:sp>
    <xdr:clientData/>
  </xdr:twoCellAnchor>
  <xdr:twoCellAnchor>
    <xdr:from>
      <xdr:col>5</xdr:col>
      <xdr:colOff>47625</xdr:colOff>
      <xdr:row>6</xdr:row>
      <xdr:rowOff>9525</xdr:rowOff>
    </xdr:from>
    <xdr:to>
      <xdr:col>8</xdr:col>
      <xdr:colOff>57150</xdr:colOff>
      <xdr:row>8</xdr:row>
      <xdr:rowOff>76200</xdr:rowOff>
    </xdr:to>
    <xdr:sp>
      <xdr:nvSpPr>
        <xdr:cNvPr id="6" name="Rectangle 10">
          <a:hlinkClick r:id="rId6"/>
        </xdr:cNvPr>
        <xdr:cNvSpPr>
          <a:spLocks/>
        </xdr:cNvSpPr>
      </xdr:nvSpPr>
      <xdr:spPr>
        <a:xfrm>
          <a:off x="3857625" y="981075"/>
          <a:ext cx="2295525" cy="390525"/>
        </a:xfrm>
        <a:prstGeom prst="rect">
          <a:avLst/>
        </a:prstGeom>
        <a:solidFill>
          <a:srgbClr val="00CC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Apalancamiento</a:t>
          </a:r>
        </a:p>
      </xdr:txBody>
    </xdr:sp>
    <xdr:clientData/>
  </xdr:twoCellAnchor>
  <xdr:twoCellAnchor>
    <xdr:from>
      <xdr:col>5</xdr:col>
      <xdr:colOff>190500</xdr:colOff>
      <xdr:row>13</xdr:row>
      <xdr:rowOff>0</xdr:rowOff>
    </xdr:from>
    <xdr:to>
      <xdr:col>7</xdr:col>
      <xdr:colOff>542925</xdr:colOff>
      <xdr:row>14</xdr:row>
      <xdr:rowOff>57150</xdr:rowOff>
    </xdr:to>
    <xdr:sp>
      <xdr:nvSpPr>
        <xdr:cNvPr id="7" name="Rectangle 12">
          <a:hlinkClick r:id="rId7"/>
        </xdr:cNvPr>
        <xdr:cNvSpPr>
          <a:spLocks/>
        </xdr:cNvSpPr>
      </xdr:nvSpPr>
      <xdr:spPr>
        <a:xfrm>
          <a:off x="4000500" y="2105025"/>
          <a:ext cx="18764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RENTABILIDAD ECONÓMICA</a:t>
          </a:r>
        </a:p>
      </xdr:txBody>
    </xdr:sp>
    <xdr:clientData/>
  </xdr:twoCellAnchor>
  <xdr:twoCellAnchor>
    <xdr:from>
      <xdr:col>5</xdr:col>
      <xdr:colOff>180975</xdr:colOff>
      <xdr:row>14</xdr:row>
      <xdr:rowOff>152400</xdr:rowOff>
    </xdr:from>
    <xdr:to>
      <xdr:col>7</xdr:col>
      <xdr:colOff>533400</xdr:colOff>
      <xdr:row>16</xdr:row>
      <xdr:rowOff>47625</xdr:rowOff>
    </xdr:to>
    <xdr:sp>
      <xdr:nvSpPr>
        <xdr:cNvPr id="8" name="Rectangle 13">
          <a:hlinkClick r:id="rId8"/>
        </xdr:cNvPr>
        <xdr:cNvSpPr>
          <a:spLocks/>
        </xdr:cNvSpPr>
      </xdr:nvSpPr>
      <xdr:spPr>
        <a:xfrm>
          <a:off x="3990975" y="2419350"/>
          <a:ext cx="18764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RENTABILIDAD FINANCIERA</a:t>
          </a:r>
        </a:p>
      </xdr:txBody>
    </xdr:sp>
    <xdr:clientData/>
  </xdr:twoCellAnchor>
  <xdr:twoCellAnchor>
    <xdr:from>
      <xdr:col>5</xdr:col>
      <xdr:colOff>161925</xdr:colOff>
      <xdr:row>16</xdr:row>
      <xdr:rowOff>142875</xdr:rowOff>
    </xdr:from>
    <xdr:to>
      <xdr:col>7</xdr:col>
      <xdr:colOff>514350</xdr:colOff>
      <xdr:row>18</xdr:row>
      <xdr:rowOff>38100</xdr:rowOff>
    </xdr:to>
    <xdr:sp>
      <xdr:nvSpPr>
        <xdr:cNvPr id="9" name="Rectangle 14">
          <a:hlinkClick r:id="rId9"/>
        </xdr:cNvPr>
        <xdr:cNvSpPr>
          <a:spLocks/>
        </xdr:cNvSpPr>
      </xdr:nvSpPr>
      <xdr:spPr>
        <a:xfrm>
          <a:off x="3971925" y="2733675"/>
          <a:ext cx="18764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RIESGO FINANCIERO</a:t>
          </a:r>
        </a:p>
      </xdr:txBody>
    </xdr:sp>
    <xdr:clientData/>
  </xdr:twoCellAnchor>
  <xdr:twoCellAnchor>
    <xdr:from>
      <xdr:col>5</xdr:col>
      <xdr:colOff>161925</xdr:colOff>
      <xdr:row>18</xdr:row>
      <xdr:rowOff>104775</xdr:rowOff>
    </xdr:from>
    <xdr:to>
      <xdr:col>7</xdr:col>
      <xdr:colOff>514350</xdr:colOff>
      <xdr:row>20</xdr:row>
      <xdr:rowOff>0</xdr:rowOff>
    </xdr:to>
    <xdr:sp>
      <xdr:nvSpPr>
        <xdr:cNvPr id="10" name="Rectangle 15">
          <a:hlinkClick r:id="rId10"/>
        </xdr:cNvPr>
        <xdr:cNvSpPr>
          <a:spLocks/>
        </xdr:cNvSpPr>
      </xdr:nvSpPr>
      <xdr:spPr>
        <a:xfrm>
          <a:off x="3971925" y="3019425"/>
          <a:ext cx="18764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APALANCAMIENTO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23</xdr:row>
      <xdr:rowOff>142875</xdr:rowOff>
    </xdr:from>
    <xdr:to>
      <xdr:col>1</xdr:col>
      <xdr:colOff>333375</xdr:colOff>
      <xdr:row>28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114550" y="4010025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23</xdr:row>
      <xdr:rowOff>142875</xdr:rowOff>
    </xdr:from>
    <xdr:to>
      <xdr:col>3</xdr:col>
      <xdr:colOff>419100</xdr:colOff>
      <xdr:row>28</xdr:row>
      <xdr:rowOff>0</xdr:rowOff>
    </xdr:to>
    <xdr:sp>
      <xdr:nvSpPr>
        <xdr:cNvPr id="2" name="Line 3"/>
        <xdr:cNvSpPr>
          <a:spLocks/>
        </xdr:cNvSpPr>
      </xdr:nvSpPr>
      <xdr:spPr>
        <a:xfrm flipH="1">
          <a:off x="3524250" y="4010025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4</xdr:row>
      <xdr:rowOff>0</xdr:rowOff>
    </xdr:from>
    <xdr:to>
      <xdr:col>14</xdr:col>
      <xdr:colOff>257175</xdr:colOff>
      <xdr:row>6</xdr:row>
      <xdr:rowOff>0</xdr:rowOff>
    </xdr:to>
    <xdr:grpSp>
      <xdr:nvGrpSpPr>
        <xdr:cNvPr id="1" name="Group 5"/>
        <xdr:cNvGrpSpPr>
          <a:grpSpLocks/>
        </xdr:cNvGrpSpPr>
      </xdr:nvGrpSpPr>
      <xdr:grpSpPr>
        <a:xfrm>
          <a:off x="4210050" y="590550"/>
          <a:ext cx="4305300" cy="304800"/>
          <a:chOff x="198" y="120"/>
          <a:chExt cx="197" cy="31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>
            <a:off x="199" y="134"/>
            <a:ext cx="19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2"/>
          <xdr:cNvSpPr>
            <a:spLocks/>
          </xdr:cNvSpPr>
        </xdr:nvSpPr>
        <xdr:spPr>
          <a:xfrm>
            <a:off x="198" y="135"/>
            <a:ext cx="1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3"/>
          <xdr:cNvSpPr>
            <a:spLocks/>
          </xdr:cNvSpPr>
        </xdr:nvSpPr>
        <xdr:spPr>
          <a:xfrm>
            <a:off x="394" y="134"/>
            <a:ext cx="1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4"/>
          <xdr:cNvSpPr>
            <a:spLocks/>
          </xdr:cNvSpPr>
        </xdr:nvSpPr>
        <xdr:spPr>
          <a:xfrm>
            <a:off x="281" y="120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85725</xdr:colOff>
      <xdr:row>14</xdr:row>
      <xdr:rowOff>0</xdr:rowOff>
    </xdr:from>
    <xdr:to>
      <xdr:col>12</xdr:col>
      <xdr:colOff>142875</xdr:colOff>
      <xdr:row>16</xdr:row>
      <xdr:rowOff>9525</xdr:rowOff>
    </xdr:to>
    <xdr:grpSp>
      <xdr:nvGrpSpPr>
        <xdr:cNvPr id="6" name="Group 6"/>
        <xdr:cNvGrpSpPr>
          <a:grpSpLocks/>
        </xdr:cNvGrpSpPr>
      </xdr:nvGrpSpPr>
      <xdr:grpSpPr>
        <a:xfrm>
          <a:off x="4114800" y="2085975"/>
          <a:ext cx="2905125" cy="295275"/>
          <a:chOff x="198" y="120"/>
          <a:chExt cx="197" cy="31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199" y="134"/>
            <a:ext cx="19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198" y="135"/>
            <a:ext cx="1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394" y="134"/>
            <a:ext cx="1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281" y="120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47625</xdr:colOff>
      <xdr:row>19</xdr:row>
      <xdr:rowOff>9525</xdr:rowOff>
    </xdr:from>
    <xdr:to>
      <xdr:col>10</xdr:col>
      <xdr:colOff>47625</xdr:colOff>
      <xdr:row>30</xdr:row>
      <xdr:rowOff>76200</xdr:rowOff>
    </xdr:to>
    <xdr:sp>
      <xdr:nvSpPr>
        <xdr:cNvPr id="11" name="Line 11"/>
        <xdr:cNvSpPr>
          <a:spLocks/>
        </xdr:cNvSpPr>
      </xdr:nvSpPr>
      <xdr:spPr>
        <a:xfrm>
          <a:off x="5753100" y="2809875"/>
          <a:ext cx="0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30</xdr:row>
      <xdr:rowOff>85725</xdr:rowOff>
    </xdr:from>
    <xdr:to>
      <xdr:col>11</xdr:col>
      <xdr:colOff>9525</xdr:colOff>
      <xdr:row>30</xdr:row>
      <xdr:rowOff>85725</xdr:rowOff>
    </xdr:to>
    <xdr:sp>
      <xdr:nvSpPr>
        <xdr:cNvPr id="12" name="Line 12"/>
        <xdr:cNvSpPr>
          <a:spLocks/>
        </xdr:cNvSpPr>
      </xdr:nvSpPr>
      <xdr:spPr>
        <a:xfrm>
          <a:off x="5743575" y="44577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25</xdr:row>
      <xdr:rowOff>76200</xdr:rowOff>
    </xdr:from>
    <xdr:to>
      <xdr:col>11</xdr:col>
      <xdr:colOff>19050</xdr:colOff>
      <xdr:row>25</xdr:row>
      <xdr:rowOff>76200</xdr:rowOff>
    </xdr:to>
    <xdr:sp>
      <xdr:nvSpPr>
        <xdr:cNvPr id="13" name="Line 13"/>
        <xdr:cNvSpPr>
          <a:spLocks/>
        </xdr:cNvSpPr>
      </xdr:nvSpPr>
      <xdr:spPr>
        <a:xfrm>
          <a:off x="5753100" y="37338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21</xdr:row>
      <xdr:rowOff>76200</xdr:rowOff>
    </xdr:from>
    <xdr:to>
      <xdr:col>11</xdr:col>
      <xdr:colOff>28575</xdr:colOff>
      <xdr:row>21</xdr:row>
      <xdr:rowOff>76200</xdr:rowOff>
    </xdr:to>
    <xdr:sp>
      <xdr:nvSpPr>
        <xdr:cNvPr id="14" name="Line 14"/>
        <xdr:cNvSpPr>
          <a:spLocks/>
        </xdr:cNvSpPr>
      </xdr:nvSpPr>
      <xdr:spPr>
        <a:xfrm>
          <a:off x="5762625" y="31623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9</xdr:row>
      <xdr:rowOff>0</xdr:rowOff>
    </xdr:from>
    <xdr:to>
      <xdr:col>15</xdr:col>
      <xdr:colOff>447675</xdr:colOff>
      <xdr:row>11</xdr:row>
      <xdr:rowOff>9525</xdr:rowOff>
    </xdr:to>
    <xdr:grpSp>
      <xdr:nvGrpSpPr>
        <xdr:cNvPr id="15" name="Group 20"/>
        <xdr:cNvGrpSpPr>
          <a:grpSpLocks/>
        </xdr:cNvGrpSpPr>
      </xdr:nvGrpSpPr>
      <xdr:grpSpPr>
        <a:xfrm>
          <a:off x="7562850" y="1323975"/>
          <a:ext cx="1485900" cy="304800"/>
          <a:chOff x="198" y="120"/>
          <a:chExt cx="197" cy="31"/>
        </a:xfrm>
        <a:solidFill>
          <a:srgbClr val="FFFFFF"/>
        </a:solidFill>
      </xdr:grpSpPr>
      <xdr:sp>
        <xdr:nvSpPr>
          <xdr:cNvPr id="16" name="Line 21"/>
          <xdr:cNvSpPr>
            <a:spLocks/>
          </xdr:cNvSpPr>
        </xdr:nvSpPr>
        <xdr:spPr>
          <a:xfrm>
            <a:off x="199" y="134"/>
            <a:ext cx="19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22"/>
          <xdr:cNvSpPr>
            <a:spLocks/>
          </xdr:cNvSpPr>
        </xdr:nvSpPr>
        <xdr:spPr>
          <a:xfrm>
            <a:off x="198" y="135"/>
            <a:ext cx="1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23"/>
          <xdr:cNvSpPr>
            <a:spLocks/>
          </xdr:cNvSpPr>
        </xdr:nvSpPr>
        <xdr:spPr>
          <a:xfrm>
            <a:off x="394" y="134"/>
            <a:ext cx="1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24"/>
          <xdr:cNvSpPr>
            <a:spLocks/>
          </xdr:cNvSpPr>
        </xdr:nvSpPr>
        <xdr:spPr>
          <a:xfrm>
            <a:off x="281" y="120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9</xdr:row>
      <xdr:rowOff>9525</xdr:rowOff>
    </xdr:from>
    <xdr:to>
      <xdr:col>10</xdr:col>
      <xdr:colOff>114300</xdr:colOff>
      <xdr:row>11</xdr:row>
      <xdr:rowOff>19050</xdr:rowOff>
    </xdr:to>
    <xdr:grpSp>
      <xdr:nvGrpSpPr>
        <xdr:cNvPr id="20" name="Group 25"/>
        <xdr:cNvGrpSpPr>
          <a:grpSpLocks/>
        </xdr:cNvGrpSpPr>
      </xdr:nvGrpSpPr>
      <xdr:grpSpPr>
        <a:xfrm>
          <a:off x="3181350" y="1333500"/>
          <a:ext cx="2638425" cy="304800"/>
          <a:chOff x="198" y="120"/>
          <a:chExt cx="197" cy="31"/>
        </a:xfrm>
        <a:solidFill>
          <a:srgbClr val="FFFFFF"/>
        </a:solidFill>
      </xdr:grpSpPr>
      <xdr:sp>
        <xdr:nvSpPr>
          <xdr:cNvPr id="21" name="Line 26"/>
          <xdr:cNvSpPr>
            <a:spLocks/>
          </xdr:cNvSpPr>
        </xdr:nvSpPr>
        <xdr:spPr>
          <a:xfrm>
            <a:off x="199" y="134"/>
            <a:ext cx="19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27"/>
          <xdr:cNvSpPr>
            <a:spLocks/>
          </xdr:cNvSpPr>
        </xdr:nvSpPr>
        <xdr:spPr>
          <a:xfrm>
            <a:off x="198" y="135"/>
            <a:ext cx="1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28"/>
          <xdr:cNvSpPr>
            <a:spLocks/>
          </xdr:cNvSpPr>
        </xdr:nvSpPr>
        <xdr:spPr>
          <a:xfrm>
            <a:off x="394" y="134"/>
            <a:ext cx="1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9"/>
          <xdr:cNvSpPr>
            <a:spLocks/>
          </xdr:cNvSpPr>
        </xdr:nvSpPr>
        <xdr:spPr>
          <a:xfrm>
            <a:off x="281" y="120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447675</xdr:colOff>
      <xdr:row>12</xdr:row>
      <xdr:rowOff>28575</xdr:rowOff>
    </xdr:from>
    <xdr:to>
      <xdr:col>17</xdr:col>
      <xdr:colOff>123825</xdr:colOff>
      <xdr:row>12</xdr:row>
      <xdr:rowOff>28575</xdr:rowOff>
    </xdr:to>
    <xdr:sp>
      <xdr:nvSpPr>
        <xdr:cNvPr id="1" name="Line 7"/>
        <xdr:cNvSpPr>
          <a:spLocks/>
        </xdr:cNvSpPr>
      </xdr:nvSpPr>
      <xdr:spPr>
        <a:xfrm>
          <a:off x="8201025" y="1866900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447675</xdr:colOff>
      <xdr:row>12</xdr:row>
      <xdr:rowOff>38100</xdr:rowOff>
    </xdr:from>
    <xdr:to>
      <xdr:col>14</xdr:col>
      <xdr:colOff>457200</xdr:colOff>
      <xdr:row>13</xdr:row>
      <xdr:rowOff>19050</xdr:rowOff>
    </xdr:to>
    <xdr:sp>
      <xdr:nvSpPr>
        <xdr:cNvPr id="2" name="Line 8"/>
        <xdr:cNvSpPr>
          <a:spLocks/>
        </xdr:cNvSpPr>
      </xdr:nvSpPr>
      <xdr:spPr>
        <a:xfrm>
          <a:off x="8201025" y="1876425"/>
          <a:ext cx="95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142875</xdr:colOff>
      <xdr:row>12</xdr:row>
      <xdr:rowOff>28575</xdr:rowOff>
    </xdr:from>
    <xdr:to>
      <xdr:col>17</xdr:col>
      <xdr:colOff>152400</xdr:colOff>
      <xdr:row>13</xdr:row>
      <xdr:rowOff>38100</xdr:rowOff>
    </xdr:to>
    <xdr:sp>
      <xdr:nvSpPr>
        <xdr:cNvPr id="3" name="Line 9"/>
        <xdr:cNvSpPr>
          <a:spLocks/>
        </xdr:cNvSpPr>
      </xdr:nvSpPr>
      <xdr:spPr>
        <a:xfrm>
          <a:off x="9858375" y="1866900"/>
          <a:ext cx="95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11</xdr:row>
      <xdr:rowOff>28575</xdr:rowOff>
    </xdr:from>
    <xdr:to>
      <xdr:col>16</xdr:col>
      <xdr:colOff>9525</xdr:colOff>
      <xdr:row>12</xdr:row>
      <xdr:rowOff>47625</xdr:rowOff>
    </xdr:to>
    <xdr:sp>
      <xdr:nvSpPr>
        <xdr:cNvPr id="4" name="Line 10"/>
        <xdr:cNvSpPr>
          <a:spLocks/>
        </xdr:cNvSpPr>
      </xdr:nvSpPr>
      <xdr:spPr>
        <a:xfrm>
          <a:off x="9105900" y="1724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276225</xdr:colOff>
      <xdr:row>10</xdr:row>
      <xdr:rowOff>104775</xdr:rowOff>
    </xdr:from>
    <xdr:to>
      <xdr:col>19</xdr:col>
      <xdr:colOff>276225</xdr:colOff>
      <xdr:row>17</xdr:row>
      <xdr:rowOff>123825</xdr:rowOff>
    </xdr:to>
    <xdr:grpSp>
      <xdr:nvGrpSpPr>
        <xdr:cNvPr id="5" name="Group 33"/>
        <xdr:cNvGrpSpPr>
          <a:grpSpLocks/>
        </xdr:cNvGrpSpPr>
      </xdr:nvGrpSpPr>
      <xdr:grpSpPr>
        <a:xfrm>
          <a:off x="10963275" y="1628775"/>
          <a:ext cx="0" cy="1085850"/>
          <a:chOff x="912" y="164"/>
          <a:chExt cx="42" cy="113"/>
        </a:xfrm>
        <a:solidFill>
          <a:srgbClr val="FFFFFF"/>
        </a:solidFill>
      </xdr:grpSpPr>
      <xdr:grpSp>
        <xdr:nvGrpSpPr>
          <xdr:cNvPr id="6" name="Group 28"/>
          <xdr:cNvGrpSpPr>
            <a:grpSpLocks/>
          </xdr:cNvGrpSpPr>
        </xdr:nvGrpSpPr>
        <xdr:grpSpPr>
          <a:xfrm>
            <a:off x="912" y="165"/>
            <a:ext cx="41" cy="112"/>
            <a:chOff x="912" y="165"/>
            <a:chExt cx="41" cy="112"/>
          </a:xfrm>
          <a:solidFill>
            <a:srgbClr val="FFFFFF"/>
          </a:solidFill>
        </xdr:grpSpPr>
        <xdr:sp>
          <xdr:nvSpPr>
            <xdr:cNvPr id="7" name="Line 22"/>
            <xdr:cNvSpPr>
              <a:spLocks/>
            </xdr:cNvSpPr>
          </xdr:nvSpPr>
          <xdr:spPr>
            <a:xfrm>
              <a:off x="912" y="165"/>
              <a:ext cx="0" cy="1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24"/>
            <xdr:cNvSpPr>
              <a:spLocks/>
            </xdr:cNvSpPr>
          </xdr:nvSpPr>
          <xdr:spPr>
            <a:xfrm>
              <a:off x="912" y="277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25"/>
            <xdr:cNvSpPr>
              <a:spLocks/>
            </xdr:cNvSpPr>
          </xdr:nvSpPr>
          <xdr:spPr>
            <a:xfrm>
              <a:off x="913" y="208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0" name="Line 26"/>
          <xdr:cNvSpPr>
            <a:spLocks/>
          </xdr:cNvSpPr>
        </xdr:nvSpPr>
        <xdr:spPr>
          <a:xfrm>
            <a:off x="912" y="164"/>
            <a:ext cx="4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342900</xdr:colOff>
      <xdr:row>10</xdr:row>
      <xdr:rowOff>85725</xdr:rowOff>
    </xdr:from>
    <xdr:to>
      <xdr:col>23</xdr:col>
      <xdr:colOff>485775</xdr:colOff>
      <xdr:row>17</xdr:row>
      <xdr:rowOff>104775</xdr:rowOff>
    </xdr:to>
    <xdr:grpSp>
      <xdr:nvGrpSpPr>
        <xdr:cNvPr id="11" name="Group 34"/>
        <xdr:cNvGrpSpPr>
          <a:grpSpLocks/>
        </xdr:cNvGrpSpPr>
      </xdr:nvGrpSpPr>
      <xdr:grpSpPr>
        <a:xfrm>
          <a:off x="14116050" y="1609725"/>
          <a:ext cx="142875" cy="1085850"/>
          <a:chOff x="912" y="164"/>
          <a:chExt cx="42" cy="113"/>
        </a:xfrm>
        <a:solidFill>
          <a:srgbClr val="FFFFFF"/>
        </a:solidFill>
      </xdr:grpSpPr>
      <xdr:grpSp>
        <xdr:nvGrpSpPr>
          <xdr:cNvPr id="12" name="Group 35"/>
          <xdr:cNvGrpSpPr>
            <a:grpSpLocks/>
          </xdr:cNvGrpSpPr>
        </xdr:nvGrpSpPr>
        <xdr:grpSpPr>
          <a:xfrm>
            <a:off x="912" y="165"/>
            <a:ext cx="41" cy="112"/>
            <a:chOff x="912" y="165"/>
            <a:chExt cx="41" cy="112"/>
          </a:xfrm>
          <a:solidFill>
            <a:srgbClr val="FFFFFF"/>
          </a:solidFill>
        </xdr:grpSpPr>
        <xdr:sp>
          <xdr:nvSpPr>
            <xdr:cNvPr id="13" name="Line 36"/>
            <xdr:cNvSpPr>
              <a:spLocks/>
            </xdr:cNvSpPr>
          </xdr:nvSpPr>
          <xdr:spPr>
            <a:xfrm>
              <a:off x="912" y="165"/>
              <a:ext cx="0" cy="11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Line 37"/>
            <xdr:cNvSpPr>
              <a:spLocks/>
            </xdr:cNvSpPr>
          </xdr:nvSpPr>
          <xdr:spPr>
            <a:xfrm>
              <a:off x="912" y="277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Line 38"/>
            <xdr:cNvSpPr>
              <a:spLocks/>
            </xdr:cNvSpPr>
          </xdr:nvSpPr>
          <xdr:spPr>
            <a:xfrm>
              <a:off x="913" y="208"/>
              <a:ext cx="4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6" name="Line 39"/>
          <xdr:cNvSpPr>
            <a:spLocks/>
          </xdr:cNvSpPr>
        </xdr:nvSpPr>
        <xdr:spPr>
          <a:xfrm>
            <a:off x="912" y="164"/>
            <a:ext cx="4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85725</xdr:colOff>
      <xdr:row>13</xdr:row>
      <xdr:rowOff>66675</xdr:rowOff>
    </xdr:from>
    <xdr:to>
      <xdr:col>10</xdr:col>
      <xdr:colOff>85725</xdr:colOff>
      <xdr:row>26</xdr:row>
      <xdr:rowOff>76200</xdr:rowOff>
    </xdr:to>
    <xdr:sp>
      <xdr:nvSpPr>
        <xdr:cNvPr id="17" name="Line 40"/>
        <xdr:cNvSpPr>
          <a:spLocks/>
        </xdr:cNvSpPr>
      </xdr:nvSpPr>
      <xdr:spPr>
        <a:xfrm>
          <a:off x="5648325" y="2057400"/>
          <a:ext cx="0" cy="1962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26</xdr:row>
      <xdr:rowOff>38100</xdr:rowOff>
    </xdr:from>
    <xdr:to>
      <xdr:col>11</xdr:col>
      <xdr:colOff>85725</xdr:colOff>
      <xdr:row>26</xdr:row>
      <xdr:rowOff>38100</xdr:rowOff>
    </xdr:to>
    <xdr:sp>
      <xdr:nvSpPr>
        <xdr:cNvPr id="18" name="Line 41"/>
        <xdr:cNvSpPr>
          <a:spLocks/>
        </xdr:cNvSpPr>
      </xdr:nvSpPr>
      <xdr:spPr>
        <a:xfrm>
          <a:off x="5676900" y="39814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21</xdr:row>
      <xdr:rowOff>123825</xdr:rowOff>
    </xdr:from>
    <xdr:to>
      <xdr:col>11</xdr:col>
      <xdr:colOff>76200</xdr:colOff>
      <xdr:row>21</xdr:row>
      <xdr:rowOff>123825</xdr:rowOff>
    </xdr:to>
    <xdr:sp>
      <xdr:nvSpPr>
        <xdr:cNvPr id="19" name="Line 42"/>
        <xdr:cNvSpPr>
          <a:spLocks/>
        </xdr:cNvSpPr>
      </xdr:nvSpPr>
      <xdr:spPr>
        <a:xfrm>
          <a:off x="5667375" y="33147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18</xdr:row>
      <xdr:rowOff>0</xdr:rowOff>
    </xdr:from>
    <xdr:to>
      <xdr:col>11</xdr:col>
      <xdr:colOff>57150</xdr:colOff>
      <xdr:row>18</xdr:row>
      <xdr:rowOff>0</xdr:rowOff>
    </xdr:to>
    <xdr:sp>
      <xdr:nvSpPr>
        <xdr:cNvPr id="20" name="Line 43"/>
        <xdr:cNvSpPr>
          <a:spLocks/>
        </xdr:cNvSpPr>
      </xdr:nvSpPr>
      <xdr:spPr>
        <a:xfrm>
          <a:off x="5648325" y="27432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13</xdr:row>
      <xdr:rowOff>66675</xdr:rowOff>
    </xdr:from>
    <xdr:to>
      <xdr:col>13</xdr:col>
      <xdr:colOff>542925</xdr:colOff>
      <xdr:row>13</xdr:row>
      <xdr:rowOff>66675</xdr:rowOff>
    </xdr:to>
    <xdr:sp>
      <xdr:nvSpPr>
        <xdr:cNvPr id="21" name="Line 47"/>
        <xdr:cNvSpPr>
          <a:spLocks/>
        </xdr:cNvSpPr>
      </xdr:nvSpPr>
      <xdr:spPr>
        <a:xfrm>
          <a:off x="5648325" y="205740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304800</xdr:colOff>
      <xdr:row>21</xdr:row>
      <xdr:rowOff>123825</xdr:rowOff>
    </xdr:from>
    <xdr:to>
      <xdr:col>15</xdr:col>
      <xdr:colOff>76200</xdr:colOff>
      <xdr:row>21</xdr:row>
      <xdr:rowOff>123825</xdr:rowOff>
    </xdr:to>
    <xdr:sp>
      <xdr:nvSpPr>
        <xdr:cNvPr id="22" name="Line 50"/>
        <xdr:cNvSpPr>
          <a:spLocks/>
        </xdr:cNvSpPr>
      </xdr:nvSpPr>
      <xdr:spPr>
        <a:xfrm>
          <a:off x="8058150" y="33147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304800</xdr:colOff>
      <xdr:row>18</xdr:row>
      <xdr:rowOff>0</xdr:rowOff>
    </xdr:from>
    <xdr:to>
      <xdr:col>15</xdr:col>
      <xdr:colOff>57150</xdr:colOff>
      <xdr:row>18</xdr:row>
      <xdr:rowOff>0</xdr:rowOff>
    </xdr:to>
    <xdr:sp>
      <xdr:nvSpPr>
        <xdr:cNvPr id="23" name="Line 51"/>
        <xdr:cNvSpPr>
          <a:spLocks/>
        </xdr:cNvSpPr>
      </xdr:nvSpPr>
      <xdr:spPr>
        <a:xfrm>
          <a:off x="8058150" y="27432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314325</xdr:colOff>
      <xdr:row>14</xdr:row>
      <xdr:rowOff>28575</xdr:rowOff>
    </xdr:from>
    <xdr:to>
      <xdr:col>14</xdr:col>
      <xdr:colOff>314325</xdr:colOff>
      <xdr:row>21</xdr:row>
      <xdr:rowOff>123825</xdr:rowOff>
    </xdr:to>
    <xdr:sp>
      <xdr:nvSpPr>
        <xdr:cNvPr id="24" name="Line 52"/>
        <xdr:cNvSpPr>
          <a:spLocks/>
        </xdr:cNvSpPr>
      </xdr:nvSpPr>
      <xdr:spPr>
        <a:xfrm>
          <a:off x="8067675" y="2171700"/>
          <a:ext cx="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2</xdr:row>
      <xdr:rowOff>123825</xdr:rowOff>
    </xdr:from>
    <xdr:to>
      <xdr:col>16</xdr:col>
      <xdr:colOff>76200</xdr:colOff>
      <xdr:row>4</xdr:row>
      <xdr:rowOff>142875</xdr:rowOff>
    </xdr:to>
    <xdr:grpSp>
      <xdr:nvGrpSpPr>
        <xdr:cNvPr id="25" name="Group 54"/>
        <xdr:cNvGrpSpPr>
          <a:grpSpLocks/>
        </xdr:cNvGrpSpPr>
      </xdr:nvGrpSpPr>
      <xdr:grpSpPr>
        <a:xfrm>
          <a:off x="5124450" y="438150"/>
          <a:ext cx="4048125" cy="323850"/>
          <a:chOff x="198" y="120"/>
          <a:chExt cx="197" cy="31"/>
        </a:xfrm>
        <a:solidFill>
          <a:srgbClr val="FFFFFF"/>
        </a:solidFill>
      </xdr:grpSpPr>
      <xdr:sp>
        <xdr:nvSpPr>
          <xdr:cNvPr id="26" name="Line 55"/>
          <xdr:cNvSpPr>
            <a:spLocks/>
          </xdr:cNvSpPr>
        </xdr:nvSpPr>
        <xdr:spPr>
          <a:xfrm>
            <a:off x="199" y="134"/>
            <a:ext cx="19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56"/>
          <xdr:cNvSpPr>
            <a:spLocks/>
          </xdr:cNvSpPr>
        </xdr:nvSpPr>
        <xdr:spPr>
          <a:xfrm>
            <a:off x="198" y="135"/>
            <a:ext cx="1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57"/>
          <xdr:cNvSpPr>
            <a:spLocks/>
          </xdr:cNvSpPr>
        </xdr:nvSpPr>
        <xdr:spPr>
          <a:xfrm>
            <a:off x="394" y="134"/>
            <a:ext cx="1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58"/>
          <xdr:cNvSpPr>
            <a:spLocks/>
          </xdr:cNvSpPr>
        </xdr:nvSpPr>
        <xdr:spPr>
          <a:xfrm>
            <a:off x="281" y="120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38100</xdr:colOff>
      <xdr:row>15</xdr:row>
      <xdr:rowOff>47625</xdr:rowOff>
    </xdr:from>
    <xdr:to>
      <xdr:col>5</xdr:col>
      <xdr:colOff>219075</xdr:colOff>
      <xdr:row>15</xdr:row>
      <xdr:rowOff>47625</xdr:rowOff>
    </xdr:to>
    <xdr:sp>
      <xdr:nvSpPr>
        <xdr:cNvPr id="30" name="Line 65"/>
        <xdr:cNvSpPr>
          <a:spLocks/>
        </xdr:cNvSpPr>
      </xdr:nvSpPr>
      <xdr:spPr>
        <a:xfrm>
          <a:off x="3295650" y="23431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142875</xdr:colOff>
      <xdr:row>10</xdr:row>
      <xdr:rowOff>104775</xdr:rowOff>
    </xdr:from>
    <xdr:ext cx="1362075" cy="1419225"/>
    <xdr:sp>
      <xdr:nvSpPr>
        <xdr:cNvPr id="31" name="AutoShape 68"/>
        <xdr:cNvSpPr>
          <a:spLocks/>
        </xdr:cNvSpPr>
      </xdr:nvSpPr>
      <xdr:spPr>
        <a:xfrm>
          <a:off x="2409825" y="1628775"/>
          <a:ext cx="1362075" cy="1419225"/>
        </a:xfrm>
        <a:prstGeom prst="rightArrowCallou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COMPONENTES DE LA RENTABILIDAD FINANCIERA</a:t>
          </a:r>
        </a:p>
      </xdr:txBody>
    </xdr:sp>
    <xdr:clientData/>
  </xdr:oneCellAnchor>
  <xdr:twoCellAnchor>
    <xdr:from>
      <xdr:col>3</xdr:col>
      <xdr:colOff>371475</xdr:colOff>
      <xdr:row>6</xdr:row>
      <xdr:rowOff>114300</xdr:rowOff>
    </xdr:from>
    <xdr:to>
      <xdr:col>5</xdr:col>
      <xdr:colOff>142875</xdr:colOff>
      <xdr:row>10</xdr:row>
      <xdr:rowOff>104775</xdr:rowOff>
    </xdr:to>
    <xdr:sp>
      <xdr:nvSpPr>
        <xdr:cNvPr id="32" name="AutoShape 69"/>
        <xdr:cNvSpPr>
          <a:spLocks/>
        </xdr:cNvSpPr>
      </xdr:nvSpPr>
      <xdr:spPr>
        <a:xfrm rot="10800000" flipV="1">
          <a:off x="2867025" y="1038225"/>
          <a:ext cx="876300" cy="590550"/>
        </a:xfrm>
        <a:prstGeom prst="bentConnector2">
          <a:avLst>
            <a:gd name="adj1" fmla="val -372824"/>
            <a:gd name="adj2" fmla="val 122129"/>
            <a:gd name="adj3" fmla="val -37282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228600</xdr:colOff>
      <xdr:row>9</xdr:row>
      <xdr:rowOff>0</xdr:rowOff>
    </xdr:from>
    <xdr:to>
      <xdr:col>26</xdr:col>
      <xdr:colOff>219075</xdr:colOff>
      <xdr:row>9</xdr:row>
      <xdr:rowOff>0</xdr:rowOff>
    </xdr:to>
    <xdr:sp>
      <xdr:nvSpPr>
        <xdr:cNvPr id="33" name="Line 71"/>
        <xdr:cNvSpPr>
          <a:spLocks/>
        </xdr:cNvSpPr>
      </xdr:nvSpPr>
      <xdr:spPr>
        <a:xfrm>
          <a:off x="6772275" y="1371600"/>
          <a:ext cx="881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9</xdr:row>
      <xdr:rowOff>0</xdr:rowOff>
    </xdr:from>
    <xdr:to>
      <xdr:col>12</xdr:col>
      <xdr:colOff>219075</xdr:colOff>
      <xdr:row>9</xdr:row>
      <xdr:rowOff>142875</xdr:rowOff>
    </xdr:to>
    <xdr:sp>
      <xdr:nvSpPr>
        <xdr:cNvPr id="34" name="Line 72"/>
        <xdr:cNvSpPr>
          <a:spLocks/>
        </xdr:cNvSpPr>
      </xdr:nvSpPr>
      <xdr:spPr>
        <a:xfrm>
          <a:off x="6743700" y="1371600"/>
          <a:ext cx="190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247650</xdr:colOff>
      <xdr:row>9</xdr:row>
      <xdr:rowOff>0</xdr:rowOff>
    </xdr:from>
    <xdr:to>
      <xdr:col>22</xdr:col>
      <xdr:colOff>266700</xdr:colOff>
      <xdr:row>10</xdr:row>
      <xdr:rowOff>19050</xdr:rowOff>
    </xdr:to>
    <xdr:sp>
      <xdr:nvSpPr>
        <xdr:cNvPr id="35" name="Line 73"/>
        <xdr:cNvSpPr>
          <a:spLocks/>
        </xdr:cNvSpPr>
      </xdr:nvSpPr>
      <xdr:spPr>
        <a:xfrm>
          <a:off x="12725400" y="1371600"/>
          <a:ext cx="190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238125</xdr:colOff>
      <xdr:row>8</xdr:row>
      <xdr:rowOff>9525</xdr:rowOff>
    </xdr:from>
    <xdr:to>
      <xdr:col>17</xdr:col>
      <xdr:colOff>238125</xdr:colOff>
      <xdr:row>9</xdr:row>
      <xdr:rowOff>38100</xdr:rowOff>
    </xdr:to>
    <xdr:sp>
      <xdr:nvSpPr>
        <xdr:cNvPr id="36" name="Line 74"/>
        <xdr:cNvSpPr>
          <a:spLocks/>
        </xdr:cNvSpPr>
      </xdr:nvSpPr>
      <xdr:spPr>
        <a:xfrm>
          <a:off x="9953625" y="1238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238125</xdr:colOff>
      <xdr:row>9</xdr:row>
      <xdr:rowOff>0</xdr:rowOff>
    </xdr:from>
    <xdr:to>
      <xdr:col>16</xdr:col>
      <xdr:colOff>257175</xdr:colOff>
      <xdr:row>9</xdr:row>
      <xdr:rowOff>142875</xdr:rowOff>
    </xdr:to>
    <xdr:sp>
      <xdr:nvSpPr>
        <xdr:cNvPr id="37" name="Line 75"/>
        <xdr:cNvSpPr>
          <a:spLocks/>
        </xdr:cNvSpPr>
      </xdr:nvSpPr>
      <xdr:spPr>
        <a:xfrm>
          <a:off x="9334500" y="1371600"/>
          <a:ext cx="190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190500</xdr:colOff>
      <xdr:row>8</xdr:row>
      <xdr:rowOff>114300</xdr:rowOff>
    </xdr:from>
    <xdr:to>
      <xdr:col>26</xdr:col>
      <xdr:colOff>209550</xdr:colOff>
      <xdr:row>9</xdr:row>
      <xdr:rowOff>114300</xdr:rowOff>
    </xdr:to>
    <xdr:sp>
      <xdr:nvSpPr>
        <xdr:cNvPr id="38" name="Line 76"/>
        <xdr:cNvSpPr>
          <a:spLocks/>
        </xdr:cNvSpPr>
      </xdr:nvSpPr>
      <xdr:spPr>
        <a:xfrm>
          <a:off x="15554325" y="1343025"/>
          <a:ext cx="190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</xdr:row>
      <xdr:rowOff>85725</xdr:rowOff>
    </xdr:from>
    <xdr:to>
      <xdr:col>6</xdr:col>
      <xdr:colOff>714375</xdr:colOff>
      <xdr:row>48</xdr:row>
      <xdr:rowOff>85725</xdr:rowOff>
    </xdr:to>
    <xdr:graphicFrame>
      <xdr:nvGraphicFramePr>
        <xdr:cNvPr id="1" name="Chart 3"/>
        <xdr:cNvGraphicFramePr/>
      </xdr:nvGraphicFramePr>
      <xdr:xfrm>
        <a:off x="57150" y="2505075"/>
        <a:ext cx="433387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714375</xdr:colOff>
      <xdr:row>18</xdr:row>
      <xdr:rowOff>104775</xdr:rowOff>
    </xdr:from>
    <xdr:to>
      <xdr:col>12</xdr:col>
      <xdr:colOff>714375</xdr:colOff>
      <xdr:row>48</xdr:row>
      <xdr:rowOff>95250</xdr:rowOff>
    </xdr:to>
    <xdr:graphicFrame>
      <xdr:nvGraphicFramePr>
        <xdr:cNvPr id="2" name="Chart 5"/>
        <xdr:cNvGraphicFramePr/>
      </xdr:nvGraphicFramePr>
      <xdr:xfrm>
        <a:off x="4391025" y="2524125"/>
        <a:ext cx="4210050" cy="4810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1" sqref="D21"/>
    </sheetView>
  </sheetViews>
  <sheetFormatPr defaultColWidth="11.421875" defaultRowHeight="12.75"/>
  <sheetData/>
  <sheetProtection sheet="1" objects="1" scenarios="1"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5"/>
  <sheetViews>
    <sheetView zoomScale="75" zoomScaleNormal="75" workbookViewId="0" topLeftCell="H1">
      <selection activeCell="P19" sqref="P19:Q19"/>
    </sheetView>
  </sheetViews>
  <sheetFormatPr defaultColWidth="11.421875" defaultRowHeight="12.75"/>
  <cols>
    <col min="1" max="1" width="26.7109375" style="73" customWidth="1"/>
    <col min="2" max="2" width="11.57421875" style="73" bestFit="1" customWidth="1"/>
    <col min="3" max="3" width="8.28125" style="73" bestFit="1" customWidth="1"/>
    <col min="4" max="4" width="11.57421875" style="73" customWidth="1"/>
    <col min="5" max="5" width="6.28125" style="73" bestFit="1" customWidth="1"/>
    <col min="6" max="6" width="8.00390625" style="73" bestFit="1" customWidth="1"/>
    <col min="7" max="7" width="33.421875" style="73" bestFit="1" customWidth="1"/>
    <col min="8" max="8" width="11.57421875" style="73" bestFit="1" customWidth="1"/>
    <col min="9" max="9" width="7.140625" style="73" bestFit="1" customWidth="1"/>
    <col min="10" max="10" width="11.421875" style="73" customWidth="1"/>
    <col min="11" max="11" width="7.140625" style="73" bestFit="1" customWidth="1"/>
    <col min="12" max="12" width="8.00390625" style="73" bestFit="1" customWidth="1"/>
    <col min="13" max="13" width="11.421875" style="73" customWidth="1"/>
    <col min="14" max="14" width="26.7109375" style="73" bestFit="1" customWidth="1"/>
    <col min="15" max="15" width="11.421875" style="73" customWidth="1"/>
    <col min="16" max="16" width="25.28125" style="73" bestFit="1" customWidth="1"/>
    <col min="17" max="16384" width="11.421875" style="73" customWidth="1"/>
  </cols>
  <sheetData>
    <row r="1" spans="1:17" ht="13.5" thickBot="1">
      <c r="A1" s="75" t="s">
        <v>97</v>
      </c>
      <c r="B1" s="72"/>
      <c r="C1" s="72"/>
      <c r="D1" s="72"/>
      <c r="E1" s="72"/>
      <c r="F1" s="72"/>
      <c r="G1" s="180" t="s">
        <v>0</v>
      </c>
      <c r="H1" s="180"/>
      <c r="I1" s="180"/>
      <c r="J1" s="180"/>
      <c r="K1" s="180"/>
      <c r="L1" s="180"/>
      <c r="N1" s="175" t="s">
        <v>75</v>
      </c>
      <c r="O1" s="182"/>
      <c r="P1" s="182"/>
      <c r="Q1" s="183"/>
    </row>
    <row r="2" spans="1:17" ht="13.5" thickBot="1">
      <c r="A2" s="72"/>
      <c r="B2" s="93">
        <v>2000</v>
      </c>
      <c r="C2" s="75" t="s">
        <v>57</v>
      </c>
      <c r="D2" s="93">
        <v>2001</v>
      </c>
      <c r="E2" s="76" t="s">
        <v>58</v>
      </c>
      <c r="F2" s="75" t="s">
        <v>59</v>
      </c>
      <c r="G2" s="77"/>
      <c r="H2" s="78">
        <v>2000</v>
      </c>
      <c r="I2" s="75" t="s">
        <v>57</v>
      </c>
      <c r="J2" s="74">
        <v>2001</v>
      </c>
      <c r="K2" s="76" t="s">
        <v>58</v>
      </c>
      <c r="L2" s="75" t="s">
        <v>59</v>
      </c>
      <c r="N2" s="184" t="s">
        <v>26</v>
      </c>
      <c r="O2" s="185"/>
      <c r="P2" s="185"/>
      <c r="Q2" s="186"/>
    </row>
    <row r="3" spans="1:17" ht="12.75">
      <c r="A3" s="77" t="s">
        <v>1</v>
      </c>
      <c r="B3" s="70">
        <v>200</v>
      </c>
      <c r="C3" s="79">
        <f aca="true" t="shared" si="0" ref="C3:C11">B3/$B$11</f>
        <v>0.03508771929824561</v>
      </c>
      <c r="D3" s="70">
        <v>180</v>
      </c>
      <c r="E3" s="79">
        <f aca="true" t="shared" si="1" ref="E3:E11">D3/$D$11</f>
        <v>0.030627871362940276</v>
      </c>
      <c r="F3" s="79">
        <f>(D3-B3)/B3</f>
        <v>-0.1</v>
      </c>
      <c r="G3" s="80" t="s">
        <v>2</v>
      </c>
      <c r="H3" s="70">
        <v>750</v>
      </c>
      <c r="I3" s="79">
        <f aca="true" t="shared" si="2" ref="I3:I11">H3/$H$11</f>
        <v>0.13157894736842105</v>
      </c>
      <c r="J3" s="70">
        <v>824</v>
      </c>
      <c r="K3" s="79">
        <f aca="true" t="shared" si="3" ref="K3:K11">J3/$J$11</f>
        <v>0.14020758890590437</v>
      </c>
      <c r="L3" s="79">
        <f aca="true" t="shared" si="4" ref="L3:L11">(J3-H3)/H3</f>
        <v>0.09866666666666667</v>
      </c>
      <c r="N3" s="140" t="s">
        <v>27</v>
      </c>
      <c r="O3" s="141">
        <v>0.25</v>
      </c>
      <c r="P3" s="189" t="s">
        <v>28</v>
      </c>
      <c r="Q3" s="190"/>
    </row>
    <row r="4" spans="1:17" ht="12.75">
      <c r="A4" s="77" t="s">
        <v>3</v>
      </c>
      <c r="B4" s="71">
        <v>1000</v>
      </c>
      <c r="C4" s="79">
        <f t="shared" si="0"/>
        <v>0.17543859649122806</v>
      </c>
      <c r="D4" s="70">
        <v>1097</v>
      </c>
      <c r="E4" s="79">
        <f t="shared" si="1"/>
        <v>0.18665986047303046</v>
      </c>
      <c r="F4" s="79">
        <f aca="true" t="shared" si="5" ref="F4:F9">(D4-B4)/B4</f>
        <v>0.097</v>
      </c>
      <c r="G4" s="73" t="s">
        <v>101</v>
      </c>
      <c r="H4" s="70">
        <v>200</v>
      </c>
      <c r="I4" s="79">
        <f t="shared" si="2"/>
        <v>0.03508771929824561</v>
      </c>
      <c r="J4" s="70">
        <v>300</v>
      </c>
      <c r="K4" s="79">
        <f t="shared" si="3"/>
        <v>0.05104645227156713</v>
      </c>
      <c r="L4" s="79">
        <f t="shared" si="4"/>
        <v>0.5</v>
      </c>
      <c r="N4" s="142" t="s">
        <v>29</v>
      </c>
      <c r="O4" s="143">
        <v>0.125</v>
      </c>
      <c r="P4" s="191"/>
      <c r="Q4" s="192"/>
    </row>
    <row r="5" spans="1:17" ht="12.75">
      <c r="A5" s="77" t="s">
        <v>5</v>
      </c>
      <c r="B5" s="70">
        <v>1000</v>
      </c>
      <c r="C5" s="79">
        <f t="shared" si="0"/>
        <v>0.17543859649122806</v>
      </c>
      <c r="D5" s="70">
        <v>1500</v>
      </c>
      <c r="E5" s="79">
        <f t="shared" si="1"/>
        <v>0.2552322613578356</v>
      </c>
      <c r="F5" s="79">
        <f t="shared" si="5"/>
        <v>0.5</v>
      </c>
      <c r="G5" s="81" t="s">
        <v>4</v>
      </c>
      <c r="H5" s="81">
        <f>SUM(H3:H4)</f>
        <v>950</v>
      </c>
      <c r="I5" s="79">
        <f t="shared" si="2"/>
        <v>0.16666666666666666</v>
      </c>
      <c r="J5" s="81">
        <f>SUM(J3:J4)</f>
        <v>1124</v>
      </c>
      <c r="K5" s="79">
        <f t="shared" si="3"/>
        <v>0.1912540411774715</v>
      </c>
      <c r="L5" s="79">
        <f t="shared" si="4"/>
        <v>0.1831578947368421</v>
      </c>
      <c r="N5" s="142" t="s">
        <v>30</v>
      </c>
      <c r="O5" s="144">
        <v>2</v>
      </c>
      <c r="P5" s="191"/>
      <c r="Q5" s="192"/>
    </row>
    <row r="6" spans="1:17" ht="12.75">
      <c r="A6" s="77" t="s">
        <v>6</v>
      </c>
      <c r="B6" s="70">
        <v>0</v>
      </c>
      <c r="C6" s="79">
        <f t="shared" si="0"/>
        <v>0</v>
      </c>
      <c r="D6" s="70"/>
      <c r="E6" s="79">
        <f t="shared" si="1"/>
        <v>0</v>
      </c>
      <c r="F6" s="79" t="e">
        <f t="shared" si="5"/>
        <v>#DIV/0!</v>
      </c>
      <c r="G6" s="80" t="s">
        <v>95</v>
      </c>
      <c r="H6" s="70">
        <v>1000</v>
      </c>
      <c r="I6" s="79">
        <f t="shared" si="2"/>
        <v>0.17543859649122806</v>
      </c>
      <c r="J6" s="70">
        <v>800</v>
      </c>
      <c r="K6" s="79">
        <f t="shared" si="3"/>
        <v>0.136123872724179</v>
      </c>
      <c r="L6" s="79">
        <f t="shared" si="4"/>
        <v>-0.2</v>
      </c>
      <c r="N6" s="142" t="s">
        <v>31</v>
      </c>
      <c r="O6" s="144">
        <v>1</v>
      </c>
      <c r="P6" s="191"/>
      <c r="Q6" s="192"/>
    </row>
    <row r="7" spans="1:17" ht="12.75">
      <c r="A7" s="81" t="s">
        <v>8</v>
      </c>
      <c r="B7" s="81">
        <f>SUM(B3:B6)</f>
        <v>2200</v>
      </c>
      <c r="C7" s="79">
        <f t="shared" si="0"/>
        <v>0.38596491228070173</v>
      </c>
      <c r="D7" s="81">
        <f>SUM(D3:D6)</f>
        <v>2777</v>
      </c>
      <c r="E7" s="79">
        <f t="shared" si="1"/>
        <v>0.4725199931938064</v>
      </c>
      <c r="F7" s="79">
        <f t="shared" si="5"/>
        <v>0.26227272727272727</v>
      </c>
      <c r="G7" s="82" t="s">
        <v>7</v>
      </c>
      <c r="H7" s="81">
        <f>H5+H6</f>
        <v>1950</v>
      </c>
      <c r="I7" s="79">
        <f t="shared" si="2"/>
        <v>0.34210526315789475</v>
      </c>
      <c r="J7" s="81">
        <f>J5+J6</f>
        <v>1924</v>
      </c>
      <c r="K7" s="79">
        <f t="shared" si="3"/>
        <v>0.3273779139016505</v>
      </c>
      <c r="L7" s="79">
        <f t="shared" si="4"/>
        <v>-0.013333333333333334</v>
      </c>
      <c r="N7" s="142" t="s">
        <v>33</v>
      </c>
      <c r="O7" s="144">
        <v>7</v>
      </c>
      <c r="P7" s="191"/>
      <c r="Q7" s="192"/>
    </row>
    <row r="8" spans="1:17" ht="12.75">
      <c r="A8" s="80" t="s">
        <v>94</v>
      </c>
      <c r="B8" s="70">
        <v>3500</v>
      </c>
      <c r="C8" s="79">
        <f t="shared" si="0"/>
        <v>0.6140350877192983</v>
      </c>
      <c r="D8" s="70">
        <v>3100</v>
      </c>
      <c r="E8" s="79">
        <f t="shared" si="1"/>
        <v>0.5274800068061937</v>
      </c>
      <c r="F8" s="79">
        <f t="shared" si="5"/>
        <v>-0.11428571428571428</v>
      </c>
      <c r="G8" s="83" t="s">
        <v>9</v>
      </c>
      <c r="H8" s="70">
        <v>550</v>
      </c>
      <c r="I8" s="79">
        <f t="shared" si="2"/>
        <v>0.09649122807017543</v>
      </c>
      <c r="J8" s="70">
        <v>550</v>
      </c>
      <c r="K8" s="79">
        <f t="shared" si="3"/>
        <v>0.09358516249787306</v>
      </c>
      <c r="L8" s="79">
        <f t="shared" si="4"/>
        <v>0</v>
      </c>
      <c r="N8" s="142" t="s">
        <v>34</v>
      </c>
      <c r="O8" s="144">
        <v>15</v>
      </c>
      <c r="P8" s="191"/>
      <c r="Q8" s="192"/>
    </row>
    <row r="9" spans="1:17" ht="13.5" thickBot="1">
      <c r="A9" s="153" t="s">
        <v>6</v>
      </c>
      <c r="B9" s="70">
        <v>0</v>
      </c>
      <c r="C9" s="79">
        <f t="shared" si="0"/>
        <v>0</v>
      </c>
      <c r="D9" s="70">
        <v>0</v>
      </c>
      <c r="E9" s="79">
        <f t="shared" si="1"/>
        <v>0</v>
      </c>
      <c r="F9" s="79" t="e">
        <f t="shared" si="5"/>
        <v>#DIV/0!</v>
      </c>
      <c r="G9" s="83" t="s">
        <v>10</v>
      </c>
      <c r="H9" s="70">
        <v>3200</v>
      </c>
      <c r="I9" s="79">
        <f t="shared" si="2"/>
        <v>0.5614035087719298</v>
      </c>
      <c r="J9" s="70">
        <v>3403</v>
      </c>
      <c r="K9" s="79">
        <f t="shared" si="3"/>
        <v>0.5790369236004764</v>
      </c>
      <c r="L9" s="79">
        <f t="shared" si="4"/>
        <v>0.0634375</v>
      </c>
      <c r="N9" s="145" t="s">
        <v>35</v>
      </c>
      <c r="O9" s="146">
        <v>9</v>
      </c>
      <c r="P9" s="193"/>
      <c r="Q9" s="194"/>
    </row>
    <row r="10" spans="1:17" ht="13.5" thickBot="1">
      <c r="A10" s="81" t="s">
        <v>11</v>
      </c>
      <c r="B10" s="81">
        <f>SUM(B8:B9)</f>
        <v>3500</v>
      </c>
      <c r="C10" s="79">
        <f t="shared" si="0"/>
        <v>0.6140350877192983</v>
      </c>
      <c r="D10" s="81">
        <f>SUM(D8:D9)</f>
        <v>3100</v>
      </c>
      <c r="E10" s="79">
        <f t="shared" si="1"/>
        <v>0.5274800068061937</v>
      </c>
      <c r="F10" s="79">
        <f>(D10-B10)/B10</f>
        <v>-0.11428571428571428</v>
      </c>
      <c r="G10" s="82" t="s">
        <v>12</v>
      </c>
      <c r="H10" s="81">
        <f>SUM(H8:H9)</f>
        <v>3750</v>
      </c>
      <c r="I10" s="79">
        <f t="shared" si="2"/>
        <v>0.6578947368421053</v>
      </c>
      <c r="J10" s="81">
        <f>SUM(J8:J9)</f>
        <v>3953</v>
      </c>
      <c r="K10" s="79">
        <f t="shared" si="3"/>
        <v>0.6726220860983495</v>
      </c>
      <c r="L10" s="79">
        <f t="shared" si="4"/>
        <v>0.05413333333333333</v>
      </c>
      <c r="N10" s="184" t="s">
        <v>36</v>
      </c>
      <c r="O10" s="185"/>
      <c r="P10" s="187"/>
      <c r="Q10" s="188"/>
    </row>
    <row r="11" spans="1:17" ht="13.5" thickBot="1">
      <c r="A11" s="77" t="s">
        <v>13</v>
      </c>
      <c r="B11" s="84">
        <f>B7+B10</f>
        <v>5700</v>
      </c>
      <c r="C11" s="79">
        <f t="shared" si="0"/>
        <v>1</v>
      </c>
      <c r="D11" s="84">
        <f>D7+D10</f>
        <v>5877</v>
      </c>
      <c r="E11" s="79">
        <f t="shared" si="1"/>
        <v>1</v>
      </c>
      <c r="F11" s="79">
        <f>(D11-B11)/B11</f>
        <v>0.03105263157894737</v>
      </c>
      <c r="G11" s="83" t="s">
        <v>14</v>
      </c>
      <c r="H11" s="84">
        <f>H7+H10</f>
        <v>5700</v>
      </c>
      <c r="I11" s="79">
        <f t="shared" si="2"/>
        <v>1</v>
      </c>
      <c r="J11" s="84">
        <f>J7+J10</f>
        <v>5877</v>
      </c>
      <c r="K11" s="79">
        <f t="shared" si="3"/>
        <v>1</v>
      </c>
      <c r="L11" s="79">
        <f t="shared" si="4"/>
        <v>0.03105263157894737</v>
      </c>
      <c r="N11" s="140" t="s">
        <v>37</v>
      </c>
      <c r="O11" s="147">
        <v>0.134</v>
      </c>
      <c r="P11" s="195" t="s">
        <v>92</v>
      </c>
      <c r="Q11" s="196"/>
    </row>
    <row r="12" spans="7:17" ht="14.25" thickBot="1" thickTop="1">
      <c r="G12" s="85"/>
      <c r="H12" s="85"/>
      <c r="N12" s="142" t="s">
        <v>39</v>
      </c>
      <c r="O12" s="143">
        <v>0.12</v>
      </c>
      <c r="P12" s="195" t="s">
        <v>67</v>
      </c>
      <c r="Q12" s="196"/>
    </row>
    <row r="13" spans="7:17" ht="12.75" customHeight="1" thickTop="1">
      <c r="G13" s="85"/>
      <c r="H13" s="179">
        <f>IF(H11=B11:B11,0,"BALANCE DEL 00 NO CUADRADO")</f>
        <v>0</v>
      </c>
      <c r="I13" s="179"/>
      <c r="J13" s="179">
        <f>IF(J11=D11:D11,0,"BALANCE DEL 00 NO CUADRADO")</f>
        <v>0</v>
      </c>
      <c r="K13" s="179"/>
      <c r="N13" s="142" t="s">
        <v>40</v>
      </c>
      <c r="O13" s="148">
        <f>Q20*O14</f>
        <v>0.0455</v>
      </c>
      <c r="P13" s="122" t="s">
        <v>45</v>
      </c>
      <c r="Q13" s="123">
        <v>1.8</v>
      </c>
    </row>
    <row r="14" spans="1:17" ht="12.75">
      <c r="A14" s="181" t="s">
        <v>15</v>
      </c>
      <c r="B14" s="181"/>
      <c r="C14" s="181"/>
      <c r="D14" s="181"/>
      <c r="E14" s="181"/>
      <c r="F14" s="181"/>
      <c r="H14" s="179"/>
      <c r="I14" s="179"/>
      <c r="J14" s="179"/>
      <c r="K14" s="179"/>
      <c r="N14" s="142" t="s">
        <v>41</v>
      </c>
      <c r="O14" s="149">
        <f>O3-O12</f>
        <v>0.13</v>
      </c>
      <c r="P14" s="122" t="s">
        <v>46</v>
      </c>
      <c r="Q14" s="123">
        <v>1.3</v>
      </c>
    </row>
    <row r="15" spans="1:17" ht="12.75">
      <c r="A15" s="72"/>
      <c r="B15" s="93">
        <v>2000</v>
      </c>
      <c r="C15" s="75" t="s">
        <v>57</v>
      </c>
      <c r="D15" s="93">
        <v>2001</v>
      </c>
      <c r="E15" s="76" t="s">
        <v>58</v>
      </c>
      <c r="F15" s="75" t="s">
        <v>59</v>
      </c>
      <c r="N15" s="142"/>
      <c r="O15" s="150"/>
      <c r="P15" s="122" t="s">
        <v>47</v>
      </c>
      <c r="Q15" s="123">
        <v>0.5</v>
      </c>
    </row>
    <row r="16" spans="1:17" ht="12.75">
      <c r="A16" s="80" t="s">
        <v>98</v>
      </c>
      <c r="B16" s="70">
        <v>3000</v>
      </c>
      <c r="C16" s="79">
        <f>B16/$B$16</f>
        <v>1</v>
      </c>
      <c r="D16" s="70">
        <v>3200</v>
      </c>
      <c r="E16" s="79">
        <f>D16/$D$16</f>
        <v>1</v>
      </c>
      <c r="F16" s="79">
        <f>(D16-B16)/B16</f>
        <v>0.06666666666666667</v>
      </c>
      <c r="N16" s="142"/>
      <c r="O16" s="151"/>
      <c r="P16" s="122" t="s">
        <v>48</v>
      </c>
      <c r="Q16" s="123">
        <v>40</v>
      </c>
    </row>
    <row r="17" spans="1:17" ht="12.75">
      <c r="A17" s="80" t="s">
        <v>17</v>
      </c>
      <c r="B17" s="70">
        <v>650</v>
      </c>
      <c r="C17" s="79">
        <f aca="true" t="shared" si="6" ref="C17:C24">B17/$B$16</f>
        <v>0.21666666666666667</v>
      </c>
      <c r="D17" s="70">
        <f>B17</f>
        <v>650</v>
      </c>
      <c r="E17" s="79">
        <f aca="true" t="shared" si="7" ref="E17:E24">D17/$D$16</f>
        <v>0.203125</v>
      </c>
      <c r="F17" s="79">
        <f aca="true" t="shared" si="8" ref="F17:F24">(D17-B17)/B17</f>
        <v>0</v>
      </c>
      <c r="N17" s="142"/>
      <c r="O17" s="150"/>
      <c r="P17" s="122" t="s">
        <v>49</v>
      </c>
      <c r="Q17" s="123">
        <v>52</v>
      </c>
    </row>
    <row r="18" spans="1:17" ht="13.5" thickBot="1">
      <c r="A18" s="80" t="s">
        <v>18</v>
      </c>
      <c r="B18" s="70">
        <v>1200</v>
      </c>
      <c r="C18" s="79">
        <f t="shared" si="6"/>
        <v>0.4</v>
      </c>
      <c r="D18" s="70">
        <v>1300</v>
      </c>
      <c r="E18" s="79">
        <f t="shared" si="7"/>
        <v>0.40625</v>
      </c>
      <c r="F18" s="79">
        <f t="shared" si="8"/>
        <v>0.08333333333333333</v>
      </c>
      <c r="N18" s="142"/>
      <c r="O18" s="150"/>
      <c r="P18" s="124" t="s">
        <v>100</v>
      </c>
      <c r="Q18" s="125">
        <v>3.5</v>
      </c>
    </row>
    <row r="19" spans="1:17" ht="14.25" thickBot="1" thickTop="1">
      <c r="A19" s="80" t="s">
        <v>19</v>
      </c>
      <c r="B19" s="70">
        <v>400</v>
      </c>
      <c r="C19" s="79">
        <f t="shared" si="6"/>
        <v>0.13333333333333333</v>
      </c>
      <c r="D19" s="70">
        <f>B19</f>
        <v>400</v>
      </c>
      <c r="E19" s="79">
        <f t="shared" si="7"/>
        <v>0.125</v>
      </c>
      <c r="F19" s="79">
        <f t="shared" si="8"/>
        <v>0</v>
      </c>
      <c r="N19" s="142"/>
      <c r="O19" s="150"/>
      <c r="P19" s="197" t="s">
        <v>50</v>
      </c>
      <c r="Q19" s="198"/>
    </row>
    <row r="20" spans="1:17" ht="13.5" thickTop="1">
      <c r="A20" s="82" t="s">
        <v>20</v>
      </c>
      <c r="B20" s="81">
        <f>B16-B17-B18-B19</f>
        <v>750</v>
      </c>
      <c r="C20" s="79">
        <f t="shared" si="6"/>
        <v>0.25</v>
      </c>
      <c r="D20" s="81">
        <f>D16-D17-D18-D19</f>
        <v>850</v>
      </c>
      <c r="E20" s="79">
        <f t="shared" si="7"/>
        <v>0.265625</v>
      </c>
      <c r="F20" s="79">
        <f t="shared" si="8"/>
        <v>0.13333333333333333</v>
      </c>
      <c r="N20" s="142"/>
      <c r="O20" s="150"/>
      <c r="P20" s="122" t="s">
        <v>51</v>
      </c>
      <c r="Q20" s="123">
        <v>0.35</v>
      </c>
    </row>
    <row r="21" spans="1:17" ht="13.5" thickBot="1">
      <c r="A21" s="80" t="s">
        <v>21</v>
      </c>
      <c r="B21" s="70">
        <v>282</v>
      </c>
      <c r="C21" s="79">
        <f t="shared" si="6"/>
        <v>0.094</v>
      </c>
      <c r="D21" s="70">
        <v>262</v>
      </c>
      <c r="E21" s="79">
        <f t="shared" si="7"/>
        <v>0.081875</v>
      </c>
      <c r="F21" s="79">
        <f t="shared" si="8"/>
        <v>-0.07092198581560284</v>
      </c>
      <c r="N21" s="142"/>
      <c r="O21" s="150"/>
      <c r="P21" s="124" t="s">
        <v>52</v>
      </c>
      <c r="Q21" s="125">
        <v>0.3</v>
      </c>
    </row>
    <row r="22" spans="1:17" ht="14.25" thickBot="1" thickTop="1">
      <c r="A22" s="82" t="s">
        <v>22</v>
      </c>
      <c r="B22" s="81">
        <f>B20-B21</f>
        <v>468</v>
      </c>
      <c r="C22" s="79">
        <f t="shared" si="6"/>
        <v>0.156</v>
      </c>
      <c r="D22" s="81">
        <f>D20-D21</f>
        <v>588</v>
      </c>
      <c r="E22" s="79">
        <f t="shared" si="7"/>
        <v>0.18375</v>
      </c>
      <c r="F22" s="79">
        <f t="shared" si="8"/>
        <v>0.2564102564102564</v>
      </c>
      <c r="N22" s="142"/>
      <c r="O22" s="150"/>
      <c r="P22" s="197" t="s">
        <v>53</v>
      </c>
      <c r="Q22" s="198"/>
    </row>
    <row r="23" spans="1:17" ht="13.5" thickTop="1">
      <c r="A23" s="80" t="s">
        <v>96</v>
      </c>
      <c r="B23" s="70">
        <v>164</v>
      </c>
      <c r="C23" s="79">
        <f t="shared" si="6"/>
        <v>0.05466666666666667</v>
      </c>
      <c r="D23" s="70">
        <v>213</v>
      </c>
      <c r="E23" s="79">
        <f t="shared" si="7"/>
        <v>0.0665625</v>
      </c>
      <c r="F23" s="79">
        <f t="shared" si="8"/>
        <v>0.29878048780487804</v>
      </c>
      <c r="N23" s="142"/>
      <c r="O23" s="150"/>
      <c r="P23" s="122" t="s">
        <v>54</v>
      </c>
      <c r="Q23" s="123">
        <v>6</v>
      </c>
    </row>
    <row r="24" spans="1:17" ht="13.5" thickBot="1">
      <c r="A24" s="82" t="s">
        <v>23</v>
      </c>
      <c r="B24" s="81">
        <f>B22-B23</f>
        <v>304</v>
      </c>
      <c r="C24" s="79">
        <f t="shared" si="6"/>
        <v>0.10133333333333333</v>
      </c>
      <c r="D24" s="81">
        <f>D22-D23</f>
        <v>375</v>
      </c>
      <c r="E24" s="79">
        <f t="shared" si="7"/>
        <v>0.1171875</v>
      </c>
      <c r="F24" s="79">
        <f t="shared" si="8"/>
        <v>0.23355263157894737</v>
      </c>
      <c r="N24" s="145"/>
      <c r="O24" s="152"/>
      <c r="P24" s="126" t="s">
        <v>55</v>
      </c>
      <c r="Q24" s="127">
        <v>3</v>
      </c>
    </row>
    <row r="25" spans="1:17" ht="13.5" thickBot="1">
      <c r="A25" s="86"/>
      <c r="B25" s="85"/>
      <c r="C25" s="85"/>
      <c r="D25" s="85"/>
      <c r="E25" s="85"/>
      <c r="F25" s="85"/>
      <c r="N25" s="184" t="s">
        <v>93</v>
      </c>
      <c r="O25" s="185"/>
      <c r="P25" s="185"/>
      <c r="Q25" s="186"/>
    </row>
    <row r="26" spans="1:17" ht="12.75">
      <c r="A26" s="86"/>
      <c r="B26" s="85"/>
      <c r="C26" s="85"/>
      <c r="D26" s="85"/>
      <c r="E26" s="85"/>
      <c r="F26" s="85"/>
      <c r="N26" s="128" t="s">
        <v>32</v>
      </c>
      <c r="O26" s="129"/>
      <c r="P26" s="129"/>
      <c r="Q26" s="154">
        <v>2</v>
      </c>
    </row>
    <row r="27" spans="1:17" ht="12.75">
      <c r="A27" s="86"/>
      <c r="B27" s="85"/>
      <c r="C27" s="85"/>
      <c r="D27" s="85"/>
      <c r="E27" s="85"/>
      <c r="F27" s="85"/>
      <c r="N27" s="122" t="s">
        <v>42</v>
      </c>
      <c r="O27" s="130"/>
      <c r="P27" s="130"/>
      <c r="Q27" s="123">
        <v>1.1</v>
      </c>
    </row>
    <row r="28" spans="1:17" ht="13.5" thickBot="1">
      <c r="A28" s="87"/>
      <c r="B28" s="87"/>
      <c r="C28" s="88"/>
      <c r="D28" s="87"/>
      <c r="E28" s="87"/>
      <c r="F28" s="87"/>
      <c r="N28" s="122" t="s">
        <v>43</v>
      </c>
      <c r="O28" s="130"/>
      <c r="P28" s="130"/>
      <c r="Q28" s="123">
        <f>Q26*Q27</f>
        <v>2.2</v>
      </c>
    </row>
    <row r="29" spans="1:17" ht="13.5" thickBot="1">
      <c r="A29" s="89" t="s">
        <v>24</v>
      </c>
      <c r="B29" s="111">
        <v>101</v>
      </c>
      <c r="C29" s="92">
        <f>B29/$B$24</f>
        <v>0.33223684210526316</v>
      </c>
      <c r="D29" s="94">
        <v>133</v>
      </c>
      <c r="E29" s="110">
        <f>D29/$D$24</f>
        <v>0.3546666666666667</v>
      </c>
      <c r="F29" s="90"/>
      <c r="N29" s="122" t="s">
        <v>102</v>
      </c>
      <c r="O29" s="130"/>
      <c r="P29" s="130"/>
      <c r="Q29" s="155">
        <v>0.6</v>
      </c>
    </row>
    <row r="30" spans="1:17" ht="13.5" thickBot="1">
      <c r="A30" s="91" t="s">
        <v>25</v>
      </c>
      <c r="B30" s="112">
        <v>203</v>
      </c>
      <c r="C30" s="110">
        <f>B30/$B$24</f>
        <v>0.6677631578947368</v>
      </c>
      <c r="D30" s="95">
        <v>266</v>
      </c>
      <c r="E30" s="110">
        <f>D30/$D$24</f>
        <v>0.7093333333333334</v>
      </c>
      <c r="F30" s="90"/>
      <c r="N30" s="126" t="s">
        <v>103</v>
      </c>
      <c r="O30" s="131"/>
      <c r="P30" s="131"/>
      <c r="Q30" s="156">
        <v>0.65</v>
      </c>
    </row>
    <row r="31" ht="12.75"/>
    <row r="58" spans="6:9" ht="12.75">
      <c r="F58" s="90"/>
      <c r="G58" s="90"/>
      <c r="H58" s="90"/>
      <c r="I58" s="90"/>
    </row>
    <row r="59" spans="6:9" ht="12.75">
      <c r="F59" s="90"/>
      <c r="G59" s="90"/>
      <c r="H59" s="90"/>
      <c r="I59" s="90"/>
    </row>
    <row r="60" spans="6:9" ht="12.75">
      <c r="F60" s="90"/>
      <c r="G60" s="174"/>
      <c r="H60" s="174"/>
      <c r="I60" s="174"/>
    </row>
    <row r="61" spans="6:9" ht="12.75">
      <c r="F61" s="90"/>
      <c r="G61" s="90"/>
      <c r="H61" s="90"/>
      <c r="I61" s="96"/>
    </row>
    <row r="62" spans="6:9" ht="12.75">
      <c r="F62" s="90"/>
      <c r="G62" s="90"/>
      <c r="H62" s="90"/>
      <c r="I62" s="90"/>
    </row>
    <row r="63" spans="6:9" ht="12.75">
      <c r="F63" s="90"/>
      <c r="G63" s="97"/>
      <c r="H63" s="90"/>
      <c r="I63" s="96"/>
    </row>
    <row r="64" spans="6:9" ht="12.75">
      <c r="F64" s="90"/>
      <c r="G64" s="97"/>
      <c r="H64" s="90"/>
      <c r="I64" s="96"/>
    </row>
    <row r="65" spans="6:9" ht="12.75">
      <c r="F65" s="90"/>
      <c r="G65" s="90"/>
      <c r="H65" s="90"/>
      <c r="I65" s="90"/>
    </row>
  </sheetData>
  <sheetProtection sheet="1" objects="1" scenarios="1"/>
  <mergeCells count="14">
    <mergeCell ref="G60:I60"/>
    <mergeCell ref="N1:Q1"/>
    <mergeCell ref="N2:Q2"/>
    <mergeCell ref="N10:Q10"/>
    <mergeCell ref="N25:Q25"/>
    <mergeCell ref="P3:Q9"/>
    <mergeCell ref="P11:Q11"/>
    <mergeCell ref="P12:Q12"/>
    <mergeCell ref="P19:Q19"/>
    <mergeCell ref="P22:Q22"/>
    <mergeCell ref="H13:I14"/>
    <mergeCell ref="J13:K14"/>
    <mergeCell ref="G1:L1"/>
    <mergeCell ref="A14:F14"/>
  </mergeCells>
  <conditionalFormatting sqref="H13:K14">
    <cfRule type="cellIs" priority="1" dxfId="0" operator="equal" stopIfTrue="1">
      <formula>0</formula>
    </cfRule>
    <cfRule type="cellIs" priority="2" dxfId="1" operator="notEqual" stopIfTrue="1">
      <formula>0</formula>
    </cfRule>
  </conditionalFormatting>
  <printOptions horizontalCentered="1" verticalCentered="1"/>
  <pageMargins left="0.75" right="0.75" top="1" bottom="1" header="0" footer="0"/>
  <pageSetup horizontalDpi="200" verticalDpi="200" orientation="landscape" scale="90" r:id="rId4"/>
  <headerFooter alignWithMargins="0">
    <oddHeader>&amp;Ccuentas anuales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U31"/>
  <sheetViews>
    <sheetView zoomScale="75" zoomScaleNormal="75" workbookViewId="0" topLeftCell="A1">
      <selection activeCell="G9" sqref="G9"/>
    </sheetView>
  </sheetViews>
  <sheetFormatPr defaultColWidth="11.421875" defaultRowHeight="12.75"/>
  <cols>
    <col min="1" max="1" width="4.00390625" style="7" customWidth="1"/>
    <col min="2" max="2" width="22.8515625" style="7" bestFit="1" customWidth="1"/>
    <col min="3" max="3" width="11.421875" style="7" customWidth="1"/>
    <col min="4" max="4" width="3.57421875" style="7" customWidth="1"/>
    <col min="5" max="6" width="5.140625" style="7" bestFit="1" customWidth="1"/>
    <col min="7" max="7" width="8.28125" style="7" bestFit="1" customWidth="1"/>
    <col min="8" max="8" width="8.00390625" style="7" customWidth="1"/>
    <col min="9" max="9" width="8.421875" style="7" customWidth="1"/>
    <col min="10" max="10" width="8.7109375" style="7" customWidth="1"/>
    <col min="11" max="11" width="8.28125" style="7" bestFit="1" customWidth="1"/>
    <col min="12" max="13" width="9.28125" style="7" bestFit="1" customWidth="1"/>
    <col min="14" max="14" width="11.421875" style="7" customWidth="1"/>
    <col min="15" max="15" width="5.140625" style="7" customWidth="1"/>
    <col min="16" max="17" width="7.421875" style="7" bestFit="1" customWidth="1"/>
    <col min="18" max="16384" width="11.421875" style="7" customWidth="1"/>
  </cols>
  <sheetData>
    <row r="1" ht="12" thickBot="1"/>
    <row r="2" spans="10:12" ht="11.25">
      <c r="J2" s="212" t="s">
        <v>26</v>
      </c>
      <c r="K2" s="213"/>
      <c r="L2" s="214"/>
    </row>
    <row r="3" spans="10:12" ht="11.25">
      <c r="J3" s="215"/>
      <c r="K3" s="216"/>
      <c r="L3" s="217"/>
    </row>
    <row r="4" spans="10:12" ht="12" thickBot="1">
      <c r="J4" s="218"/>
      <c r="K4" s="219"/>
      <c r="L4" s="220"/>
    </row>
    <row r="5" ht="12" thickBot="1"/>
    <row r="6" spans="2:3" ht="12" thickBot="1">
      <c r="B6" s="221" t="s">
        <v>75</v>
      </c>
      <c r="C6" s="222"/>
    </row>
    <row r="7" spans="2:16" ht="11.25" customHeight="1">
      <c r="B7" s="100" t="s">
        <v>27</v>
      </c>
      <c r="C7" s="101">
        <f>'cuentas anuales'!O3</f>
        <v>0.25</v>
      </c>
      <c r="G7" s="223" t="s">
        <v>66</v>
      </c>
      <c r="H7" s="224"/>
      <c r="I7" s="225"/>
      <c r="N7" s="200" t="s">
        <v>28</v>
      </c>
      <c r="O7" s="201"/>
      <c r="P7" s="202"/>
    </row>
    <row r="8" spans="2:16" ht="11.25" customHeight="1">
      <c r="B8" s="26" t="s">
        <v>29</v>
      </c>
      <c r="C8" s="98">
        <f>'cuentas anuales'!O4</f>
        <v>0.125</v>
      </c>
      <c r="G8" s="138">
        <f>'cuentas anuales'!$B$2</f>
        <v>2000</v>
      </c>
      <c r="H8" s="138">
        <f>'cuentas anuales'!$D$2</f>
        <v>2001</v>
      </c>
      <c r="I8" s="138" t="s">
        <v>59</v>
      </c>
      <c r="N8" s="203"/>
      <c r="O8" s="204"/>
      <c r="P8" s="205"/>
    </row>
    <row r="9" spans="2:16" ht="11.25" customHeight="1" thickBot="1">
      <c r="B9" s="26" t="s">
        <v>30</v>
      </c>
      <c r="C9" s="99">
        <f>'cuentas anuales'!O5</f>
        <v>2</v>
      </c>
      <c r="G9" s="176">
        <f>BAIT/'cuentas anuales'!B11</f>
        <v>0.13157894736842105</v>
      </c>
      <c r="H9" s="176">
        <f>'cuentas anuales'!D20/'cuentas anuales'!D11</f>
        <v>0.1446316147694402</v>
      </c>
      <c r="I9" s="139">
        <f>(H9-G9)/G9</f>
        <v>0.09920027224774557</v>
      </c>
      <c r="N9" s="206"/>
      <c r="O9" s="207"/>
      <c r="P9" s="208"/>
    </row>
    <row r="10" spans="2:3" ht="11.25">
      <c r="B10" s="27" t="s">
        <v>31</v>
      </c>
      <c r="C10" s="99">
        <f>'cuentas anuales'!O6</f>
        <v>1</v>
      </c>
    </row>
    <row r="11" spans="2:3" ht="12" thickBot="1">
      <c r="B11" s="27" t="s">
        <v>33</v>
      </c>
      <c r="C11" s="99">
        <f>'cuentas anuales'!O7</f>
        <v>7</v>
      </c>
    </row>
    <row r="12" spans="2:18" ht="13.5" customHeight="1" thickBot="1">
      <c r="B12" s="28" t="s">
        <v>34</v>
      </c>
      <c r="C12" s="99">
        <f>'cuentas anuales'!O8</f>
        <v>15</v>
      </c>
      <c r="E12" s="226" t="s">
        <v>29</v>
      </c>
      <c r="F12" s="226"/>
      <c r="G12" s="226"/>
      <c r="I12" s="199" t="s">
        <v>60</v>
      </c>
      <c r="J12" s="199"/>
      <c r="K12" s="199"/>
      <c r="M12" s="209" t="s">
        <v>77</v>
      </c>
      <c r="N12" s="211"/>
      <c r="O12" s="25"/>
      <c r="P12" s="209" t="s">
        <v>76</v>
      </c>
      <c r="Q12" s="210"/>
      <c r="R12" s="211"/>
    </row>
    <row r="13" spans="2:21" ht="12" thickBot="1">
      <c r="B13" s="29" t="s">
        <v>35</v>
      </c>
      <c r="C13" s="102">
        <f>'cuentas anuales'!O9</f>
        <v>9</v>
      </c>
      <c r="E13" s="10">
        <f>'cuentas anuales'!$B$2</f>
        <v>2000</v>
      </c>
      <c r="F13" s="10">
        <f>'cuentas anuales'!$D$2</f>
        <v>2001</v>
      </c>
      <c r="G13" s="10" t="s">
        <v>59</v>
      </c>
      <c r="I13" s="12">
        <f>'cuentas anuales'!$B$2</f>
        <v>2000</v>
      </c>
      <c r="J13" s="12">
        <f>'cuentas anuales'!$D$2</f>
        <v>2001</v>
      </c>
      <c r="K13" s="12" t="s">
        <v>59</v>
      </c>
      <c r="O13" s="17"/>
      <c r="P13" s="17"/>
      <c r="Q13" s="17"/>
      <c r="R13" s="16"/>
      <c r="S13" s="17"/>
      <c r="T13" s="17"/>
      <c r="U13" s="17"/>
    </row>
    <row r="14" spans="5:21" ht="11.25">
      <c r="E14" s="11">
        <f>'cuentas anuales'!B20/'cuentas anuales'!B16</f>
        <v>0.25</v>
      </c>
      <c r="F14" s="11">
        <f>'cuentas anuales'!D20/'cuentas anuales'!D16</f>
        <v>0.265625</v>
      </c>
      <c r="G14" s="11">
        <f>(F14-E14)/E14</f>
        <v>0.0625</v>
      </c>
      <c r="I14" s="30">
        <f>'cuentas anuales'!B16/'cuentas anuales'!B11</f>
        <v>0.5263157894736842</v>
      </c>
      <c r="J14" s="30">
        <f>'cuentas anuales'!D16/'cuentas anuales'!D11</f>
        <v>0.544495490896716</v>
      </c>
      <c r="K14" s="13">
        <f>(J14-I14)/I14</f>
        <v>0.03454143270376047</v>
      </c>
      <c r="O14" s="18"/>
      <c r="P14" s="18"/>
      <c r="Q14" s="18"/>
      <c r="U14" s="18"/>
    </row>
    <row r="15" ht="11.25"/>
    <row r="16" spans="19:20" ht="11.25">
      <c r="S16" s="16"/>
      <c r="T16" s="16"/>
    </row>
    <row r="17" spans="7:20" ht="11.25">
      <c r="G17" s="199" t="s">
        <v>61</v>
      </c>
      <c r="H17" s="199"/>
      <c r="I17" s="199"/>
      <c r="K17" s="199" t="s">
        <v>62</v>
      </c>
      <c r="L17" s="199"/>
      <c r="M17" s="199"/>
      <c r="P17" s="16"/>
      <c r="Q17" s="16"/>
      <c r="R17" s="16"/>
      <c r="S17" s="16"/>
      <c r="T17" s="16"/>
    </row>
    <row r="18" spans="7:20" ht="11.25">
      <c r="G18" s="12">
        <f>'cuentas anuales'!$B$2</f>
        <v>2000</v>
      </c>
      <c r="H18" s="12">
        <f>'cuentas anuales'!$D$2</f>
        <v>2001</v>
      </c>
      <c r="I18" s="12" t="s">
        <v>59</v>
      </c>
      <c r="K18" s="12">
        <f>'cuentas anuales'!$B$2</f>
        <v>2000</v>
      </c>
      <c r="L18" s="12">
        <f>'cuentas anuales'!$D$2</f>
        <v>2001</v>
      </c>
      <c r="M18" s="12" t="s">
        <v>59</v>
      </c>
      <c r="P18" s="16"/>
      <c r="Q18" s="31"/>
      <c r="R18" s="32"/>
      <c r="S18" s="32"/>
      <c r="T18" s="16"/>
    </row>
    <row r="19" spans="7:20" ht="11.25">
      <c r="G19" s="30">
        <f>'cuentas anuales'!B16/'cuentas anuales'!B10</f>
        <v>0.8571428571428571</v>
      </c>
      <c r="H19" s="30">
        <f>'cuentas anuales'!D16/'cuentas anuales'!D10</f>
        <v>1.032258064516129</v>
      </c>
      <c r="I19" s="13">
        <f>(H19-G19)/G19</f>
        <v>0.20430107526881724</v>
      </c>
      <c r="K19" s="30">
        <f>'cuentas anuales'!B16/'cuentas anuales'!B7</f>
        <v>1.3636363636363635</v>
      </c>
      <c r="L19" s="30">
        <f>'cuentas anuales'!D20/'cuentas anuales'!D7</f>
        <v>0.3060857039971192</v>
      </c>
      <c r="M19" s="13">
        <f>(L19-K19)/K19</f>
        <v>-0.7755371504021126</v>
      </c>
      <c r="P19" s="16"/>
      <c r="Q19" s="16"/>
      <c r="R19" s="9"/>
      <c r="S19" s="9"/>
      <c r="T19" s="16"/>
    </row>
    <row r="20" spans="16:20" ht="11.25">
      <c r="P20" s="16"/>
      <c r="Q20" s="33"/>
      <c r="R20" s="34"/>
      <c r="S20" s="35"/>
      <c r="T20" s="16"/>
    </row>
    <row r="21" spans="12:20" ht="11.25">
      <c r="L21" s="199" t="s">
        <v>63</v>
      </c>
      <c r="M21" s="199"/>
      <c r="N21" s="199"/>
      <c r="P21" s="16"/>
      <c r="Q21" s="16"/>
      <c r="R21" s="36"/>
      <c r="S21" s="35"/>
      <c r="T21" s="16"/>
    </row>
    <row r="22" spans="12:20" ht="11.25">
      <c r="L22" s="12">
        <f>'cuentas anuales'!$B$2</f>
        <v>2000</v>
      </c>
      <c r="M22" s="12">
        <f>'cuentas anuales'!$D$2</f>
        <v>2001</v>
      </c>
      <c r="N22" s="12" t="s">
        <v>59</v>
      </c>
      <c r="P22" s="16"/>
      <c r="Q22" s="16"/>
      <c r="R22" s="37"/>
      <c r="S22" s="16"/>
      <c r="T22" s="16"/>
    </row>
    <row r="23" spans="12:20" ht="11.25">
      <c r="L23" s="30">
        <f>('cuentas anuales'!B17+'cuentas anuales'!B18+'cuentas anuales'!B19)/'cuentas anuales'!B5</f>
        <v>2.25</v>
      </c>
      <c r="M23" s="30">
        <f>('cuentas anuales'!D19+'cuentas anuales'!D18+'cuentas anuales'!D17)/'cuentas anuales'!D5</f>
        <v>1.5666666666666667</v>
      </c>
      <c r="N23" s="13">
        <f>(M23-L23)/L23</f>
        <v>-0.3037037037037037</v>
      </c>
      <c r="P23" s="16"/>
      <c r="Q23" s="33"/>
      <c r="R23" s="37"/>
      <c r="S23" s="35"/>
      <c r="T23" s="16"/>
    </row>
    <row r="24" spans="16:20" ht="11.25">
      <c r="P24" s="16"/>
      <c r="Q24" s="33"/>
      <c r="R24" s="37"/>
      <c r="S24" s="35"/>
      <c r="T24" s="16"/>
    </row>
    <row r="25" spans="12:20" ht="11.25">
      <c r="L25" s="199" t="s">
        <v>64</v>
      </c>
      <c r="M25" s="199"/>
      <c r="N25" s="199"/>
      <c r="P25" s="16"/>
      <c r="Q25" s="16"/>
      <c r="R25" s="9"/>
      <c r="S25" s="35"/>
      <c r="T25" s="16"/>
    </row>
    <row r="26" spans="12:20" ht="11.25">
      <c r="L26" s="12">
        <f>'cuentas anuales'!$B$2</f>
        <v>2000</v>
      </c>
      <c r="M26" s="12">
        <f>'cuentas anuales'!$D$2</f>
        <v>2001</v>
      </c>
      <c r="N26" s="12" t="s">
        <v>59</v>
      </c>
      <c r="P26" s="16"/>
      <c r="Q26" s="33"/>
      <c r="R26" s="9"/>
      <c r="S26" s="35"/>
      <c r="T26" s="16"/>
    </row>
    <row r="27" spans="12:20" ht="11.25">
      <c r="L27" s="30">
        <f>'cuentas anuales'!B16/'cuentas anuales'!B4</f>
        <v>3</v>
      </c>
      <c r="M27" s="30">
        <f>'cuentas anuales'!D16/'cuentas anuales'!D4</f>
        <v>2.917046490428441</v>
      </c>
      <c r="N27" s="13">
        <f>(M27-L27)/L27</f>
        <v>-0.027651169857186336</v>
      </c>
      <c r="P27" s="16"/>
      <c r="Q27" s="16"/>
      <c r="R27" s="16"/>
      <c r="S27" s="16"/>
      <c r="T27" s="16"/>
    </row>
    <row r="28" spans="16:20" ht="11.25">
      <c r="P28" s="16"/>
      <c r="Q28" s="16"/>
      <c r="R28" s="16"/>
      <c r="S28" s="16"/>
      <c r="T28" s="16"/>
    </row>
    <row r="29" spans="12:20" ht="11.25">
      <c r="L29" s="199" t="s">
        <v>65</v>
      </c>
      <c r="M29" s="199"/>
      <c r="N29" s="199"/>
      <c r="P29" s="16"/>
      <c r="Q29" s="16"/>
      <c r="R29" s="16"/>
      <c r="S29" s="16"/>
      <c r="T29" s="16"/>
    </row>
    <row r="30" spans="12:20" ht="11.25">
      <c r="L30" s="12">
        <f>'cuentas anuales'!$B$2</f>
        <v>2000</v>
      </c>
      <c r="M30" s="12">
        <f>'cuentas anuales'!$D$2</f>
        <v>2001</v>
      </c>
      <c r="N30" s="12" t="s">
        <v>59</v>
      </c>
      <c r="P30" s="16"/>
      <c r="Q30" s="16"/>
      <c r="R30" s="16"/>
      <c r="S30" s="16"/>
      <c r="T30" s="16"/>
    </row>
    <row r="31" spans="12:14" ht="11.25">
      <c r="L31" s="30">
        <f>'cuentas anuales'!B16/'cuentas anuales'!B3</f>
        <v>15</v>
      </c>
      <c r="M31" s="30">
        <f>'cuentas anuales'!D16/'cuentas anuales'!D3</f>
        <v>17.77777777777778</v>
      </c>
      <c r="N31" s="13">
        <f>(M31-L31)/L31</f>
        <v>0.18518518518518523</v>
      </c>
    </row>
  </sheetData>
  <mergeCells count="13">
    <mergeCell ref="B6:C6"/>
    <mergeCell ref="M12:N12"/>
    <mergeCell ref="G7:I7"/>
    <mergeCell ref="E12:G12"/>
    <mergeCell ref="I12:K12"/>
    <mergeCell ref="G17:I17"/>
    <mergeCell ref="K17:M17"/>
    <mergeCell ref="J2:L4"/>
    <mergeCell ref="L21:N21"/>
    <mergeCell ref="L25:N25"/>
    <mergeCell ref="L29:N29"/>
    <mergeCell ref="N7:P9"/>
    <mergeCell ref="P12:R12"/>
  </mergeCells>
  <hyperlinks>
    <hyperlink ref="N7:P9" location="apalancamiento!A1" display="apalancamiento!A1"/>
    <hyperlink ref="M12:N12" location="apalancamiento!A1" display="apalancamiento!A1"/>
    <hyperlink ref="P12:R12" location="apalancamiento!A1" display="apalancamiento!A1"/>
  </hyperlinks>
  <printOptions horizontalCentered="1" verticalCentered="1"/>
  <pageMargins left="0.75" right="0.75" top="1" bottom="1" header="0" footer="0"/>
  <pageSetup horizontalDpi="600" verticalDpi="600" orientation="landscape" paperSize="9" scale="95" r:id="rId4"/>
  <headerFooter alignWithMargins="0">
    <oddHeader>&amp;CANÁLISIS ECONÓMICO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7"/>
  <sheetViews>
    <sheetView zoomScale="75" zoomScaleNormal="75" workbookViewId="0" topLeftCell="Q1">
      <selection activeCell="G13" sqref="G13"/>
    </sheetView>
  </sheetViews>
  <sheetFormatPr defaultColWidth="11.421875" defaultRowHeight="12.75"/>
  <cols>
    <col min="1" max="1" width="22.57421875" style="7" bestFit="1" customWidth="1"/>
    <col min="2" max="2" width="11.421875" style="7" customWidth="1"/>
    <col min="3" max="3" width="3.421875" style="7" customWidth="1"/>
    <col min="4" max="4" width="11.421875" style="7" customWidth="1"/>
    <col min="5" max="5" width="5.140625" style="7" customWidth="1"/>
    <col min="6" max="6" width="3.8515625" style="7" customWidth="1"/>
    <col min="7" max="7" width="7.28125" style="7" customWidth="1"/>
    <col min="8" max="8" width="7.00390625" style="7" customWidth="1"/>
    <col min="9" max="9" width="9.00390625" style="7" customWidth="1"/>
    <col min="10" max="10" width="2.28125" style="7" customWidth="1"/>
    <col min="11" max="11" width="6.140625" style="7" customWidth="1"/>
    <col min="12" max="12" width="8.57421875" style="7" customWidth="1"/>
    <col min="13" max="13" width="10.00390625" style="7" bestFit="1" customWidth="1"/>
    <col min="14" max="14" width="8.140625" style="7" customWidth="1"/>
    <col min="15" max="15" width="9.8515625" style="7" customWidth="1"/>
    <col min="16" max="16" width="10.28125" style="7" customWidth="1"/>
    <col min="17" max="17" width="9.28125" style="7" bestFit="1" customWidth="1"/>
    <col min="18" max="18" width="8.57421875" style="7" bestFit="1" customWidth="1"/>
    <col min="19" max="19" width="6.00390625" style="7" customWidth="1"/>
    <col min="20" max="20" width="4.140625" style="7" customWidth="1"/>
    <col min="21" max="21" width="13.421875" style="7" customWidth="1"/>
    <col min="22" max="22" width="9.28125" style="7" bestFit="1" customWidth="1"/>
    <col min="23" max="23" width="19.421875" style="7" customWidth="1"/>
    <col min="24" max="24" width="7.28125" style="46" customWidth="1"/>
    <col min="25" max="26" width="8.28125" style="7" bestFit="1" customWidth="1"/>
    <col min="27" max="27" width="11.421875" style="7" customWidth="1"/>
    <col min="28" max="30" width="7.421875" style="7" bestFit="1" customWidth="1"/>
    <col min="31" max="16384" width="11.421875" style="7" customWidth="1"/>
  </cols>
  <sheetData>
    <row r="1" spans="12:24" ht="13.5" customHeight="1" thickBot="1">
      <c r="L1" s="212" t="s">
        <v>36</v>
      </c>
      <c r="M1" s="213"/>
      <c r="N1" s="214"/>
      <c r="U1" s="257" t="s">
        <v>75</v>
      </c>
      <c r="V1" s="258"/>
      <c r="W1" s="258"/>
      <c r="X1" s="259"/>
    </row>
    <row r="2" spans="12:24" ht="11.25">
      <c r="L2" s="215"/>
      <c r="M2" s="216"/>
      <c r="N2" s="217"/>
      <c r="U2" s="108" t="s">
        <v>67</v>
      </c>
      <c r="V2" s="115"/>
      <c r="W2" s="255" t="s">
        <v>50</v>
      </c>
      <c r="X2" s="256"/>
    </row>
    <row r="3" spans="12:24" ht="12" thickBot="1">
      <c r="L3" s="218"/>
      <c r="M3" s="219"/>
      <c r="N3" s="220"/>
      <c r="U3" s="48" t="s">
        <v>45</v>
      </c>
      <c r="V3" s="116">
        <f>'cuentas anuales'!Q13</f>
        <v>1.8</v>
      </c>
      <c r="W3" s="48" t="s">
        <v>51</v>
      </c>
      <c r="X3" s="49">
        <f>'cuentas anuales'!Q20</f>
        <v>0.35</v>
      </c>
    </row>
    <row r="4" spans="21:24" ht="12" thickBot="1">
      <c r="U4" s="48" t="s">
        <v>46</v>
      </c>
      <c r="V4" s="116">
        <f>'cuentas anuales'!Q14</f>
        <v>1.3</v>
      </c>
      <c r="W4" s="50" t="s">
        <v>52</v>
      </c>
      <c r="X4" s="49">
        <f>'cuentas anuales'!Q21</f>
        <v>0.3</v>
      </c>
    </row>
    <row r="5" spans="21:24" ht="12" thickBot="1">
      <c r="U5" s="48" t="s">
        <v>47</v>
      </c>
      <c r="V5" s="116">
        <f>'cuentas anuales'!Q15</f>
        <v>0.5</v>
      </c>
      <c r="W5" s="255" t="s">
        <v>53</v>
      </c>
      <c r="X5" s="256"/>
    </row>
    <row r="6" spans="1:24" ht="12" thickBot="1">
      <c r="A6" s="253" t="s">
        <v>75</v>
      </c>
      <c r="B6" s="254"/>
      <c r="G6" s="250" t="s">
        <v>37</v>
      </c>
      <c r="H6" s="251"/>
      <c r="I6" s="252"/>
      <c r="Q6" s="237" t="s">
        <v>28</v>
      </c>
      <c r="R6" s="238"/>
      <c r="S6" s="239"/>
      <c r="U6" s="48" t="s">
        <v>48</v>
      </c>
      <c r="V6" s="116">
        <f>'cuentas anuales'!Q16</f>
        <v>40</v>
      </c>
      <c r="W6" s="48" t="s">
        <v>54</v>
      </c>
      <c r="X6" s="51">
        <f>'cuentas anuales'!Q23</f>
        <v>6</v>
      </c>
    </row>
    <row r="7" spans="1:24" ht="12" thickBot="1">
      <c r="A7" s="103" t="s">
        <v>37</v>
      </c>
      <c r="B7" s="104">
        <f>'cuentas anuales'!O11</f>
        <v>0.134</v>
      </c>
      <c r="G7" s="132">
        <f>'cuentas anuales'!$B$2</f>
        <v>2000</v>
      </c>
      <c r="H7" s="133">
        <f>'cuentas anuales'!$D$2</f>
        <v>2001</v>
      </c>
      <c r="I7" s="134" t="s">
        <v>59</v>
      </c>
      <c r="Q7" s="240"/>
      <c r="R7" s="241"/>
      <c r="S7" s="242"/>
      <c r="U7" s="48" t="s">
        <v>49</v>
      </c>
      <c r="V7" s="116">
        <f>'cuentas anuales'!Q17</f>
        <v>52</v>
      </c>
      <c r="W7" s="52" t="s">
        <v>55</v>
      </c>
      <c r="X7" s="113">
        <f>'cuentas anuales'!Q24</f>
        <v>3</v>
      </c>
    </row>
    <row r="8" spans="1:24" ht="12" thickBot="1">
      <c r="A8" s="26" t="s">
        <v>39</v>
      </c>
      <c r="B8" s="105">
        <f>'cuentas anuales'!O12</f>
        <v>0.12</v>
      </c>
      <c r="G8" s="135">
        <f>'cuentas anuales'!B24/'cuentas anuales'!H10</f>
        <v>0.08106666666666666</v>
      </c>
      <c r="H8" s="136">
        <f>'cuentas anuales'!D24/'cuentas anuales'!J10</f>
        <v>0.09486465975208702</v>
      </c>
      <c r="I8" s="137">
        <f>(H8-G8)/G8</f>
        <v>0.17020550681028404</v>
      </c>
      <c r="Q8" s="243"/>
      <c r="R8" s="244"/>
      <c r="S8" s="245"/>
      <c r="U8" s="53" t="s">
        <v>100</v>
      </c>
      <c r="V8" s="109">
        <f>'cuentas anuales'!Q18</f>
        <v>3.5</v>
      </c>
      <c r="W8" s="8"/>
      <c r="X8" s="54"/>
    </row>
    <row r="9" spans="1:30" ht="11.25">
      <c r="A9" s="26" t="s">
        <v>40</v>
      </c>
      <c r="B9" s="114">
        <f>'cuentas anuales'!O13</f>
        <v>0.0455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47"/>
      <c r="Y9" s="19"/>
      <c r="Z9" s="19"/>
      <c r="AA9" s="19"/>
      <c r="AB9" s="19"/>
      <c r="AC9" s="19"/>
      <c r="AD9" s="19"/>
    </row>
    <row r="10" spans="1:30" ht="12" thickBot="1">
      <c r="A10" s="106" t="s">
        <v>41</v>
      </c>
      <c r="B10" s="107">
        <f>'cuentas anuales'!O14</f>
        <v>0.13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47"/>
      <c r="Y10" s="19"/>
      <c r="Z10" s="19"/>
      <c r="AA10" s="19"/>
      <c r="AB10" s="19"/>
      <c r="AC10" s="19"/>
      <c r="AD10" s="19"/>
    </row>
    <row r="11" spans="4:27" ht="13.5" thickBot="1">
      <c r="D11" s="19"/>
      <c r="E11" s="17"/>
      <c r="F11" s="17"/>
      <c r="G11" s="250" t="s">
        <v>80</v>
      </c>
      <c r="H11" s="251"/>
      <c r="I11" s="252"/>
      <c r="J11" s="17"/>
      <c r="K11" s="17"/>
      <c r="L11" s="246" t="s">
        <v>38</v>
      </c>
      <c r="M11" s="247"/>
      <c r="N11" s="248"/>
      <c r="O11" s="23"/>
      <c r="P11" s="231" t="s">
        <v>67</v>
      </c>
      <c r="Q11" s="232"/>
      <c r="R11" s="233"/>
      <c r="S11" s="17"/>
      <c r="T11" s="17"/>
      <c r="U11" s="231" t="s">
        <v>50</v>
      </c>
      <c r="V11" s="232"/>
      <c r="W11" s="233"/>
      <c r="X11" s="47"/>
      <c r="Y11" s="231" t="s">
        <v>53</v>
      </c>
      <c r="Z11" s="232"/>
      <c r="AA11" s="233"/>
    </row>
    <row r="12" spans="4:27" ht="11.25">
      <c r="D12" s="19"/>
      <c r="E12" s="17"/>
      <c r="F12" s="17"/>
      <c r="G12" s="132">
        <f>'cuentas anuales'!$B$2</f>
        <v>2000</v>
      </c>
      <c r="H12" s="133">
        <f>'cuentas anuales'!$D$2</f>
        <v>2001</v>
      </c>
      <c r="I12" s="134" t="s">
        <v>59</v>
      </c>
      <c r="J12" s="17"/>
      <c r="K12" s="17"/>
      <c r="L12" s="19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9"/>
      <c r="X12" s="47"/>
      <c r="Y12" s="19"/>
      <c r="Z12" s="19"/>
      <c r="AA12" s="19"/>
    </row>
    <row r="13" spans="4:27" ht="12" thickBot="1">
      <c r="D13" s="19"/>
      <c r="E13" s="18"/>
      <c r="F13" s="18"/>
      <c r="G13" s="178">
        <f>'cuentas anuales'!B21/'cuentas anuales'!H7</f>
        <v>0.14461538461538462</v>
      </c>
      <c r="H13" s="177">
        <f>'cuentas anuales'!D21/'cuentas anuales'!J7</f>
        <v>0.13617463617463618</v>
      </c>
      <c r="I13" s="137">
        <f>(H13-G13)/G13</f>
        <v>-0.05836687751581365</v>
      </c>
      <c r="J13" s="18"/>
      <c r="K13" s="18"/>
      <c r="L13" s="19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9"/>
      <c r="X13" s="47"/>
      <c r="Y13" s="19"/>
      <c r="Z13" s="19"/>
      <c r="AA13" s="19"/>
    </row>
    <row r="14" spans="4:27" ht="12" thickBot="1">
      <c r="D14" s="19"/>
      <c r="E14" s="19"/>
      <c r="F14" s="19"/>
      <c r="G14" s="19"/>
      <c r="H14" s="19"/>
      <c r="I14" s="19"/>
      <c r="J14" s="19"/>
      <c r="K14" s="19"/>
      <c r="L14" s="19"/>
      <c r="O14" s="24" t="s">
        <v>44</v>
      </c>
      <c r="Q14" s="234" t="s">
        <v>71</v>
      </c>
      <c r="R14" s="235"/>
      <c r="S14" s="236"/>
      <c r="T14" s="19"/>
      <c r="U14" s="234" t="s">
        <v>68</v>
      </c>
      <c r="V14" s="235"/>
      <c r="W14" s="236"/>
      <c r="X14" s="47"/>
      <c r="Y14" s="234" t="s">
        <v>70</v>
      </c>
      <c r="Z14" s="235"/>
      <c r="AA14" s="236"/>
    </row>
    <row r="15" spans="4:27" ht="12" thickBot="1">
      <c r="D15" s="19"/>
      <c r="E15" s="19"/>
      <c r="F15" s="19"/>
      <c r="G15" s="250" t="s">
        <v>81</v>
      </c>
      <c r="H15" s="251"/>
      <c r="I15" s="252"/>
      <c r="J15" s="19"/>
      <c r="K15" s="19"/>
      <c r="L15" s="19"/>
      <c r="M15" s="19"/>
      <c r="N15" s="19"/>
      <c r="O15" s="19"/>
      <c r="P15" s="19"/>
      <c r="Q15" s="20">
        <f>'cuentas anuales'!$B$2</f>
        <v>2000</v>
      </c>
      <c r="R15" s="20">
        <f>'cuentas anuales'!$D$2</f>
        <v>2001</v>
      </c>
      <c r="S15" s="20" t="s">
        <v>59</v>
      </c>
      <c r="T15" s="19"/>
      <c r="U15" s="20">
        <f>'cuentas anuales'!$B$2</f>
        <v>2000</v>
      </c>
      <c r="V15" s="20">
        <f>'cuentas anuales'!$D$2</f>
        <v>2001</v>
      </c>
      <c r="W15" s="20" t="s">
        <v>59</v>
      </c>
      <c r="X15" s="47"/>
      <c r="Y15" s="20">
        <f>'cuentas anuales'!$B$2</f>
        <v>2000</v>
      </c>
      <c r="Z15" s="20">
        <f>'cuentas anuales'!$D$2</f>
        <v>2001</v>
      </c>
      <c r="AA15" s="20" t="s">
        <v>59</v>
      </c>
    </row>
    <row r="16" spans="4:27" ht="11.25">
      <c r="D16" s="19"/>
      <c r="E16" s="19"/>
      <c r="F16" s="19"/>
      <c r="G16" s="132">
        <f>'cuentas anuales'!$B$2</f>
        <v>2000</v>
      </c>
      <c r="H16" s="133">
        <f>'cuentas anuales'!$D$2</f>
        <v>2001</v>
      </c>
      <c r="I16" s="134" t="s">
        <v>59</v>
      </c>
      <c r="J16" s="19"/>
      <c r="K16" s="19"/>
      <c r="L16" s="19"/>
      <c r="M16" s="19"/>
      <c r="N16" s="19"/>
      <c r="O16" s="19"/>
      <c r="P16" s="19"/>
      <c r="Q16" s="39">
        <f>'cuentas anuales'!B11/'cuentas anuales'!H7</f>
        <v>2.923076923076923</v>
      </c>
      <c r="R16" s="39">
        <f>'cuentas anuales'!D11/'cuentas anuales'!J7</f>
        <v>3.0545738045738045</v>
      </c>
      <c r="S16" s="15">
        <f>(R16-Q16)/Q16</f>
        <v>0.044985775248933164</v>
      </c>
      <c r="U16" s="40">
        <f>'cuentas anuales'!H7/'cuentas anuales'!H10</f>
        <v>0.52</v>
      </c>
      <c r="V16" s="40">
        <f>'cuentas anuales'!J7/'cuentas anuales'!J10</f>
        <v>0.4867189476347078</v>
      </c>
      <c r="W16" s="15">
        <f>(V16-U16)/U16</f>
        <v>-0.06400202377940811</v>
      </c>
      <c r="Y16" s="40">
        <f>'cuentas anuales'!B20/'cuentas anuales'!B21</f>
        <v>2.6595744680851063</v>
      </c>
      <c r="Z16" s="40">
        <f>'cuentas anuales'!D20/'cuentas anuales'!D21</f>
        <v>3.2442748091603053</v>
      </c>
      <c r="AA16" s="15">
        <f>(Z16-Y16)/Y16</f>
        <v>0.2198473282442748</v>
      </c>
    </row>
    <row r="17" spans="6:19" ht="12" thickBot="1">
      <c r="F17" s="16"/>
      <c r="G17" s="135">
        <f>'análisis económico'!G9-'análisis financiero'!G13</f>
        <v>-0.013036437246963573</v>
      </c>
      <c r="H17" s="136">
        <f>'análisis económico'!H9-'análisis financiero'!H13</f>
        <v>0.008456978594804015</v>
      </c>
      <c r="I17" s="137">
        <f>(H17-G17)/G17</f>
        <v>-1.6487185443840342</v>
      </c>
      <c r="J17" s="16"/>
      <c r="K17" s="230"/>
      <c r="L17" s="230"/>
      <c r="M17" s="230"/>
      <c r="N17" s="16"/>
      <c r="O17" s="16"/>
      <c r="P17" s="16"/>
      <c r="Q17" s="16"/>
      <c r="R17" s="16"/>
      <c r="S17" s="16"/>
    </row>
    <row r="18" spans="6:27" ht="12" thickBot="1">
      <c r="F18" s="16"/>
      <c r="G18" s="17"/>
      <c r="H18" s="17"/>
      <c r="I18" s="17"/>
      <c r="J18" s="16"/>
      <c r="K18" s="17"/>
      <c r="L18" s="249" t="s">
        <v>72</v>
      </c>
      <c r="M18" s="249"/>
      <c r="N18" s="249"/>
      <c r="O18" s="25"/>
      <c r="P18" s="249" t="s">
        <v>79</v>
      </c>
      <c r="Q18" s="249"/>
      <c r="R18" s="249"/>
      <c r="S18" s="16"/>
      <c r="U18" s="234" t="s">
        <v>69</v>
      </c>
      <c r="V18" s="235"/>
      <c r="W18" s="236"/>
      <c r="Y18" s="234" t="s">
        <v>99</v>
      </c>
      <c r="Z18" s="235"/>
      <c r="AA18" s="236"/>
    </row>
    <row r="19" spans="6:27" ht="12" thickBot="1">
      <c r="F19" s="16"/>
      <c r="G19" s="18"/>
      <c r="H19" s="18"/>
      <c r="I19" s="18"/>
      <c r="J19" s="16"/>
      <c r="K19" s="18"/>
      <c r="L19" s="14">
        <f>'cuentas anuales'!$B$2</f>
        <v>2000</v>
      </c>
      <c r="M19" s="14">
        <f>'cuentas anuales'!$D$2</f>
        <v>2001</v>
      </c>
      <c r="N19" s="14" t="s">
        <v>59</v>
      </c>
      <c r="O19" s="17"/>
      <c r="P19" s="14">
        <f>'cuentas anuales'!$B$2</f>
        <v>2000</v>
      </c>
      <c r="Q19" s="14">
        <f>'cuentas anuales'!$D$2</f>
        <v>2001</v>
      </c>
      <c r="R19" s="14" t="s">
        <v>59</v>
      </c>
      <c r="S19" s="16"/>
      <c r="U19" s="20">
        <f>'cuentas anuales'!$B$2</f>
        <v>2000</v>
      </c>
      <c r="V19" s="20">
        <f>'cuentas anuales'!$D$2</f>
        <v>2001</v>
      </c>
      <c r="W19" s="20" t="s">
        <v>59</v>
      </c>
      <c r="Y19" s="20">
        <f>'cuentas anuales'!$B$2</f>
        <v>2000</v>
      </c>
      <c r="Z19" s="20">
        <f>'cuentas anuales'!$D$2</f>
        <v>2001</v>
      </c>
      <c r="AA19" s="20" t="s">
        <v>59</v>
      </c>
    </row>
    <row r="20" spans="6:27" ht="12" thickBot="1">
      <c r="F20" s="16"/>
      <c r="G20" s="250" t="s">
        <v>82</v>
      </c>
      <c r="H20" s="251"/>
      <c r="I20" s="252"/>
      <c r="J20" s="16"/>
      <c r="K20" s="16"/>
      <c r="L20" s="40">
        <f>'cuentas anuales'!B7/'cuentas anuales'!H5</f>
        <v>2.3157894736842106</v>
      </c>
      <c r="M20" s="40">
        <f>'cuentas anuales'!D7/'cuentas anuales'!J5</f>
        <v>2.4706405693950177</v>
      </c>
      <c r="N20" s="15">
        <f>(M20-L20)/L20</f>
        <v>0.06686751860239398</v>
      </c>
      <c r="O20" s="18"/>
      <c r="P20" s="38">
        <f>'cuentas anuales'!B4/(('cuentas anuales'!B16/360))</f>
        <v>119.99999999999999</v>
      </c>
      <c r="Q20" s="38">
        <f>'cuentas anuales'!D4/('cuentas anuales'!D16/360)</f>
        <v>123.4125</v>
      </c>
      <c r="R20" s="15">
        <f>(Q20-P20)/P20</f>
        <v>0.028437500000000074</v>
      </c>
      <c r="S20" s="16"/>
      <c r="U20" s="15">
        <f>'cuentas anuales'!H5/'cuentas anuales'!H7</f>
        <v>0.48717948717948717</v>
      </c>
      <c r="V20" s="15">
        <f>'cuentas anuales'!J5/'cuentas anuales'!J7</f>
        <v>0.5841995841995842</v>
      </c>
      <c r="W20" s="15">
        <f>(V20-U20)/U20</f>
        <v>0.1991465149359886</v>
      </c>
      <c r="Y20" s="40">
        <f>BAIT/('cuentas anuales'!B21+(('cuentas anuales'!H6-'cuentas anuales'!J6)/(1-('cuentas anuales'!B23/'cuentas anuales'!B22))))</f>
        <v>1.2714132762312635</v>
      </c>
      <c r="Z20" s="40">
        <f>BAIT2001/(INT01+(('cuentas anuales'!H6-'cuentas anuales'!J6)/(1-('cuentas anuales'!D23/'cuentas anuales'!D22))))</f>
        <v>1.4767199444058374</v>
      </c>
      <c r="AA20" s="15">
        <f>(Z20-Y20)/Y20</f>
        <v>0.16147909732635957</v>
      </c>
    </row>
    <row r="21" spans="6:19" ht="11.25">
      <c r="F21" s="16"/>
      <c r="G21" s="132">
        <f>'cuentas anuales'!$B$2</f>
        <v>2000</v>
      </c>
      <c r="H21" s="133">
        <f>'cuentas anuales'!$D$2</f>
        <v>2001</v>
      </c>
      <c r="I21" s="134" t="s">
        <v>59</v>
      </c>
      <c r="J21" s="16"/>
      <c r="K21" s="16"/>
      <c r="O21" s="16"/>
      <c r="S21" s="16"/>
    </row>
    <row r="22" spans="6:19" ht="12" thickBot="1">
      <c r="F22" s="16"/>
      <c r="G22" s="135">
        <f>G17*U16</f>
        <v>-0.006778947368421058</v>
      </c>
      <c r="H22" s="136">
        <f>H17*V16</f>
        <v>0.004116171721832261</v>
      </c>
      <c r="I22" s="137">
        <f>(H22-G22)/G22</f>
        <v>-1.6071992446802243</v>
      </c>
      <c r="J22" s="16"/>
      <c r="K22" s="16"/>
      <c r="L22" s="249" t="s">
        <v>73</v>
      </c>
      <c r="M22" s="249"/>
      <c r="N22" s="249"/>
      <c r="O22" s="25"/>
      <c r="P22" s="249" t="s">
        <v>78</v>
      </c>
      <c r="Q22" s="249"/>
      <c r="R22" s="249"/>
      <c r="S22" s="16"/>
    </row>
    <row r="23" spans="6:19" ht="12.75" customHeight="1">
      <c r="F23" s="16"/>
      <c r="G23" s="16"/>
      <c r="H23" s="16"/>
      <c r="I23" s="16"/>
      <c r="J23" s="16"/>
      <c r="K23" s="16"/>
      <c r="L23" s="14">
        <f>'cuentas anuales'!$B$2</f>
        <v>2000</v>
      </c>
      <c r="M23" s="14">
        <f>'cuentas anuales'!$D$2</f>
        <v>2001</v>
      </c>
      <c r="N23" s="14" t="s">
        <v>59</v>
      </c>
      <c r="O23" s="17"/>
      <c r="P23" s="14">
        <f>'cuentas anuales'!$B$2</f>
        <v>2000</v>
      </c>
      <c r="Q23" s="14">
        <f>'cuentas anuales'!$D$2</f>
        <v>2001</v>
      </c>
      <c r="R23" s="14" t="s">
        <v>59</v>
      </c>
      <c r="S23" s="16"/>
    </row>
    <row r="24" spans="6:19" ht="11.25">
      <c r="F24" s="16"/>
      <c r="G24" s="16"/>
      <c r="H24" s="16"/>
      <c r="I24" s="16"/>
      <c r="J24" s="16"/>
      <c r="K24" s="16"/>
      <c r="L24" s="40">
        <f>('cuentas anuales'!B7-'cuentas anuales'!B5)/'cuentas anuales'!H5</f>
        <v>1.263157894736842</v>
      </c>
      <c r="M24" s="40">
        <f>('cuentas anuales'!D7-'cuentas anuales'!D5)/'cuentas anuales'!J5</f>
        <v>1.136120996441281</v>
      </c>
      <c r="N24" s="15">
        <f>(M24-L24)/L24</f>
        <v>-0.1005708778173191</v>
      </c>
      <c r="O24" s="18"/>
      <c r="P24" s="38">
        <v>0</v>
      </c>
      <c r="Q24" s="38">
        <f>'cuentas anuales'!J5/('análisis financiero'!Q27/360)</f>
        <v>224.8</v>
      </c>
      <c r="R24" s="38">
        <v>0</v>
      </c>
      <c r="S24" s="16"/>
    </row>
    <row r="25" spans="6:19" ht="12" thickBot="1">
      <c r="F25" s="16"/>
      <c r="G25" s="16"/>
      <c r="H25" s="16"/>
      <c r="I25" s="16"/>
      <c r="J25" s="16"/>
      <c r="K25" s="16"/>
      <c r="O25" s="16"/>
      <c r="P25" s="249" t="s">
        <v>83</v>
      </c>
      <c r="Q25" s="249"/>
      <c r="R25" s="249"/>
      <c r="S25" s="16"/>
    </row>
    <row r="26" spans="6:19" ht="11.25">
      <c r="F26" s="16"/>
      <c r="G26" s="16"/>
      <c r="H26" s="16"/>
      <c r="I26" s="16"/>
      <c r="J26" s="16"/>
      <c r="K26" s="16"/>
      <c r="L26" s="227" t="s">
        <v>74</v>
      </c>
      <c r="M26" s="228"/>
      <c r="N26" s="229"/>
      <c r="O26" s="25"/>
      <c r="P26" s="14">
        <f>'cuentas anuales'!$B$2</f>
        <v>2000</v>
      </c>
      <c r="Q26" s="14">
        <f>'cuentas anuales'!$D$2</f>
        <v>2001</v>
      </c>
      <c r="R26" s="14" t="s">
        <v>59</v>
      </c>
      <c r="S26" s="16"/>
    </row>
    <row r="27" spans="6:19" ht="11.25">
      <c r="F27" s="16"/>
      <c r="G27" s="16"/>
      <c r="H27" s="16"/>
      <c r="I27" s="16"/>
      <c r="J27" s="16"/>
      <c r="K27" s="16"/>
      <c r="L27" s="41">
        <f>'cuentas anuales'!$B$2</f>
        <v>2000</v>
      </c>
      <c r="M27" s="14">
        <f>'cuentas anuales'!$D$2</f>
        <v>2001</v>
      </c>
      <c r="N27" s="42" t="s">
        <v>59</v>
      </c>
      <c r="O27" s="17"/>
      <c r="P27" s="38">
        <v>0</v>
      </c>
      <c r="Q27" s="38">
        <f>'cuentas anuales'!D18+'cuentas anuales'!D5-'cuentas anuales'!B5</f>
        <v>1800</v>
      </c>
      <c r="R27" s="15"/>
      <c r="S27" s="16"/>
    </row>
    <row r="28" spans="6:19" ht="12" thickBot="1">
      <c r="F28" s="16"/>
      <c r="G28" s="16"/>
      <c r="H28" s="16"/>
      <c r="I28" s="16"/>
      <c r="J28" s="16"/>
      <c r="K28" s="16"/>
      <c r="L28" s="43">
        <f>'cuentas anuales'!B3/'cuentas anuales'!H5</f>
        <v>0.21052631578947367</v>
      </c>
      <c r="M28" s="44">
        <f>'cuentas anuales'!D3/'cuentas anuales'!J5</f>
        <v>0.1601423487544484</v>
      </c>
      <c r="N28" s="45">
        <f>(M28-L28)/L28</f>
        <v>-0.23932384341637</v>
      </c>
      <c r="O28" s="18"/>
      <c r="P28" s="18"/>
      <c r="Q28" s="18"/>
      <c r="R28" s="18"/>
      <c r="S28" s="16"/>
    </row>
    <row r="29" spans="6:19" ht="11.25">
      <c r="F29" s="16"/>
      <c r="G29" s="16"/>
      <c r="H29" s="16"/>
      <c r="I29" s="16"/>
      <c r="J29" s="16"/>
      <c r="K29" s="16"/>
      <c r="L29" s="230"/>
      <c r="M29" s="230"/>
      <c r="N29" s="230"/>
      <c r="O29" s="17"/>
      <c r="P29" s="17"/>
      <c r="Q29" s="17"/>
      <c r="R29" s="17"/>
      <c r="S29" s="16"/>
    </row>
    <row r="30" spans="6:23" ht="11.25">
      <c r="F30" s="16"/>
      <c r="G30" s="16"/>
      <c r="H30" s="16"/>
      <c r="I30" s="16"/>
      <c r="J30" s="16"/>
      <c r="K30" s="16"/>
      <c r="L30" s="17"/>
      <c r="M30" s="17"/>
      <c r="N30" s="17"/>
      <c r="O30" s="17"/>
      <c r="P30" s="17"/>
      <c r="Q30" s="17"/>
      <c r="R30" s="17"/>
      <c r="S30" s="16"/>
      <c r="T30" s="117"/>
      <c r="U30" s="117"/>
      <c r="V30" s="117"/>
      <c r="W30" s="117"/>
    </row>
    <row r="31" spans="6:23" ht="11.25"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6"/>
      <c r="T31" s="117"/>
      <c r="U31" s="117"/>
      <c r="V31" s="117"/>
      <c r="W31" s="117"/>
    </row>
    <row r="32" spans="6:23" ht="11.25"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17"/>
      <c r="U32" s="117"/>
      <c r="V32" s="117"/>
      <c r="W32" s="117"/>
    </row>
    <row r="33" spans="6:23" ht="11.25"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17"/>
      <c r="U33" s="117"/>
      <c r="V33" s="118"/>
      <c r="W33" s="117"/>
    </row>
    <row r="34" spans="6:23" ht="11.25"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17"/>
      <c r="U34" s="119"/>
      <c r="V34" s="120"/>
      <c r="W34" s="117"/>
    </row>
    <row r="35" spans="6:23" ht="11.25"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17"/>
      <c r="U35" s="121"/>
      <c r="V35" s="120"/>
      <c r="W35" s="117"/>
    </row>
    <row r="36" spans="6:23" ht="11.25"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17"/>
      <c r="U36" s="117"/>
      <c r="V36" s="117"/>
      <c r="W36" s="117"/>
    </row>
    <row r="37" spans="16:23" ht="11.25">
      <c r="P37" s="117"/>
      <c r="Q37" s="117"/>
      <c r="R37" s="117"/>
      <c r="S37" s="117"/>
      <c r="T37" s="117"/>
      <c r="U37" s="117"/>
      <c r="V37" s="117"/>
      <c r="W37" s="117"/>
    </row>
    <row r="38" spans="16:23" ht="11.25">
      <c r="P38" s="117"/>
      <c r="Q38" s="117"/>
      <c r="R38" s="117"/>
      <c r="S38" s="117"/>
      <c r="T38" s="117"/>
      <c r="U38" s="117"/>
      <c r="V38" s="117"/>
      <c r="W38" s="117"/>
    </row>
    <row r="39" spans="16:23" ht="11.25">
      <c r="P39" s="117"/>
      <c r="Q39" s="117"/>
      <c r="R39" s="117"/>
      <c r="S39" s="117"/>
      <c r="T39" s="117"/>
      <c r="U39" s="117"/>
      <c r="V39" s="117"/>
      <c r="W39" s="117"/>
    </row>
    <row r="40" spans="16:23" ht="11.25">
      <c r="P40" s="117"/>
      <c r="Q40" s="117"/>
      <c r="R40" s="117"/>
      <c r="S40" s="117"/>
      <c r="T40" s="117"/>
      <c r="U40" s="117"/>
      <c r="V40" s="117"/>
      <c r="W40" s="117"/>
    </row>
    <row r="41" spans="16:23" ht="11.25">
      <c r="P41" s="117"/>
      <c r="Q41" s="117"/>
      <c r="R41" s="117"/>
      <c r="S41" s="117"/>
      <c r="T41" s="117"/>
      <c r="U41" s="117"/>
      <c r="V41" s="117"/>
      <c r="W41" s="117"/>
    </row>
    <row r="42" spans="16:23" ht="11.25">
      <c r="P42" s="117"/>
      <c r="Q42" s="117"/>
      <c r="R42" s="117"/>
      <c r="S42" s="117"/>
      <c r="T42" s="117"/>
      <c r="U42" s="117"/>
      <c r="V42" s="117"/>
      <c r="W42" s="117"/>
    </row>
    <row r="43" spans="16:23" ht="11.25">
      <c r="P43" s="117"/>
      <c r="Q43" s="117"/>
      <c r="R43" s="117"/>
      <c r="S43" s="117"/>
      <c r="T43" s="117"/>
      <c r="U43" s="117"/>
      <c r="V43" s="117"/>
      <c r="W43" s="117"/>
    </row>
    <row r="44" spans="16:23" ht="11.25">
      <c r="P44" s="117"/>
      <c r="Q44" s="117"/>
      <c r="R44" s="117"/>
      <c r="S44" s="117"/>
      <c r="T44" s="117"/>
      <c r="U44" s="117"/>
      <c r="V44" s="117"/>
      <c r="W44" s="117"/>
    </row>
    <row r="45" spans="16:23" ht="11.25">
      <c r="P45" s="117"/>
      <c r="Q45" s="117"/>
      <c r="R45" s="117"/>
      <c r="S45" s="117"/>
      <c r="T45" s="117"/>
      <c r="U45" s="117"/>
      <c r="V45" s="117"/>
      <c r="W45" s="117"/>
    </row>
    <row r="46" spans="16:23" ht="11.25">
      <c r="P46" s="117"/>
      <c r="Q46" s="117"/>
      <c r="R46" s="117"/>
      <c r="S46" s="117"/>
      <c r="T46" s="117"/>
      <c r="U46" s="117"/>
      <c r="V46" s="117"/>
      <c r="W46" s="117"/>
    </row>
    <row r="47" spans="16:23" ht="11.25">
      <c r="P47" s="117"/>
      <c r="Q47" s="117"/>
      <c r="R47" s="117"/>
      <c r="S47" s="117"/>
      <c r="T47" s="117"/>
      <c r="U47" s="117"/>
      <c r="V47" s="117"/>
      <c r="W47" s="117"/>
    </row>
  </sheetData>
  <sheetProtection sheet="1" objects="1" scenarios="1"/>
  <mergeCells count="27">
    <mergeCell ref="L1:N3"/>
    <mergeCell ref="G20:I20"/>
    <mergeCell ref="A6:B6"/>
    <mergeCell ref="W5:X5"/>
    <mergeCell ref="W2:X2"/>
    <mergeCell ref="U1:X1"/>
    <mergeCell ref="G6:I6"/>
    <mergeCell ref="U11:W11"/>
    <mergeCell ref="G11:I11"/>
    <mergeCell ref="G15:I15"/>
    <mergeCell ref="L29:N29"/>
    <mergeCell ref="Q6:S8"/>
    <mergeCell ref="L11:N11"/>
    <mergeCell ref="P11:R11"/>
    <mergeCell ref="Q14:S14"/>
    <mergeCell ref="P25:R25"/>
    <mergeCell ref="L22:N22"/>
    <mergeCell ref="L18:N18"/>
    <mergeCell ref="P18:R18"/>
    <mergeCell ref="P22:R22"/>
    <mergeCell ref="L26:N26"/>
    <mergeCell ref="K17:M17"/>
    <mergeCell ref="Y11:AA11"/>
    <mergeCell ref="U14:W14"/>
    <mergeCell ref="U18:W18"/>
    <mergeCell ref="Y14:AA14"/>
    <mergeCell ref="Y18:AA18"/>
  </mergeCells>
  <hyperlinks>
    <hyperlink ref="L11:N11" location="'punto muerto'!A1" display="'punto muerto'!A1"/>
  </hyperlinks>
  <printOptions verticalCentered="1"/>
  <pageMargins left="0.75" right="0.75" top="0.17" bottom="1" header="0" footer="0"/>
  <pageSetup horizontalDpi="600" verticalDpi="600" orientation="landscape" paperSize="9" scale="90" r:id="rId4"/>
  <headerFooter alignWithMargins="0">
    <oddHeader>&amp;CANÁLISIS FINANCIERO: RIESGO
</oddHead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O19"/>
  <sheetViews>
    <sheetView tabSelected="1" workbookViewId="0" topLeftCell="C1">
      <selection activeCell="M16" sqref="M15:M16"/>
    </sheetView>
  </sheetViews>
  <sheetFormatPr defaultColWidth="11.421875" defaultRowHeight="12.75"/>
  <cols>
    <col min="1" max="1" width="17.57421875" style="1" bestFit="1" customWidth="1"/>
    <col min="2" max="3" width="7.8515625" style="1" bestFit="1" customWidth="1"/>
    <col min="4" max="6" width="7.28125" style="1" bestFit="1" customWidth="1"/>
    <col min="7" max="7" width="11.140625" style="1" bestFit="1" customWidth="1"/>
    <col min="8" max="8" width="7.28125" style="1" bestFit="1" customWidth="1"/>
    <col min="9" max="9" width="7.8515625" style="1" bestFit="1" customWidth="1"/>
    <col min="10" max="10" width="10.00390625" style="1" bestFit="1" customWidth="1"/>
    <col min="11" max="11" width="11.57421875" style="1" bestFit="1" customWidth="1"/>
    <col min="12" max="12" width="15.28125" style="1" customWidth="1"/>
    <col min="13" max="16384" width="11.421875" style="1" customWidth="1"/>
  </cols>
  <sheetData>
    <row r="1" spans="1:171" ht="10.5" thickBot="1">
      <c r="A1" s="1" t="s">
        <v>56</v>
      </c>
      <c r="B1" s="1">
        <v>0.15</v>
      </c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</row>
    <row r="2" spans="1:171" ht="13.5" customHeight="1" thickBot="1">
      <c r="A2" s="262" t="s">
        <v>15</v>
      </c>
      <c r="B2" s="263"/>
      <c r="C2" s="263"/>
      <c r="D2" s="263"/>
      <c r="E2" s="263"/>
      <c r="F2" s="263"/>
      <c r="G2" s="263"/>
      <c r="H2" s="263"/>
      <c r="I2" s="263"/>
      <c r="J2" s="263"/>
      <c r="K2" s="264"/>
      <c r="L2" s="260" t="s">
        <v>75</v>
      </c>
      <c r="M2" s="261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</row>
    <row r="3" spans="1:171" ht="12" thickBot="1">
      <c r="A3" s="2"/>
      <c r="B3" s="3"/>
      <c r="C3" s="3"/>
      <c r="D3" s="3"/>
      <c r="E3" s="3"/>
      <c r="F3" s="3"/>
      <c r="G3" s="55" t="s">
        <v>84</v>
      </c>
      <c r="H3" s="162"/>
      <c r="I3" s="162"/>
      <c r="J3" s="59"/>
      <c r="K3" s="59"/>
      <c r="L3" s="157" t="s">
        <v>91</v>
      </c>
      <c r="M3" s="158">
        <f>'cuentas anuales'!Q26</f>
        <v>2</v>
      </c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</row>
    <row r="4" spans="1:171" ht="11.25">
      <c r="A4" s="4" t="s">
        <v>16</v>
      </c>
      <c r="B4" s="62">
        <f>C4*(1-$B$1)</f>
        <v>1419.857</v>
      </c>
      <c r="C4" s="62">
        <f>D4*(1-$B$1)</f>
        <v>1670.42</v>
      </c>
      <c r="D4" s="62">
        <f>E4*(1-$B$1)</f>
        <v>1965.2</v>
      </c>
      <c r="E4" s="62">
        <f>F4*(1-$B$1)</f>
        <v>2312</v>
      </c>
      <c r="F4" s="62">
        <f>G4*(1-$B$1)</f>
        <v>2720</v>
      </c>
      <c r="G4" s="163">
        <f>'cuentas anuales'!D16</f>
        <v>3200</v>
      </c>
      <c r="H4" s="62">
        <f>G4*(1+$B$1)</f>
        <v>3679.9999999999995</v>
      </c>
      <c r="I4" s="62">
        <f>H4*(1+$B$1)</f>
        <v>4231.999999999999</v>
      </c>
      <c r="J4" s="62">
        <f>I4*(1+$B$1)</f>
        <v>4866.799999999998</v>
      </c>
      <c r="K4" s="62">
        <f>J4*(1+$B$1)</f>
        <v>5596.819999999998</v>
      </c>
      <c r="L4" s="16" t="s">
        <v>89</v>
      </c>
      <c r="M4" s="69">
        <f>'cuentas anuales'!Q27</f>
        <v>1.1</v>
      </c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</row>
    <row r="5" spans="1:171" ht="12" thickBot="1">
      <c r="A5" s="5" t="s">
        <v>17</v>
      </c>
      <c r="B5" s="63">
        <f>'cuentas anuales'!$D$17</f>
        <v>650</v>
      </c>
      <c r="C5" s="63">
        <f>'cuentas anuales'!$D$17</f>
        <v>650</v>
      </c>
      <c r="D5" s="63">
        <f>'cuentas anuales'!$D$17</f>
        <v>650</v>
      </c>
      <c r="E5" s="63">
        <f>'cuentas anuales'!$D$17</f>
        <v>650</v>
      </c>
      <c r="F5" s="63">
        <f>'cuentas anuales'!$D$17</f>
        <v>650</v>
      </c>
      <c r="G5" s="164">
        <f>'cuentas anuales'!$D$17</f>
        <v>650</v>
      </c>
      <c r="H5" s="63">
        <f>'cuentas anuales'!$D$17</f>
        <v>650</v>
      </c>
      <c r="I5" s="63">
        <f>'cuentas anuales'!$D$17</f>
        <v>650</v>
      </c>
      <c r="J5" s="63">
        <f>'cuentas anuales'!$D$17</f>
        <v>650</v>
      </c>
      <c r="K5" s="63">
        <f>'cuentas anuales'!$D$17</f>
        <v>650</v>
      </c>
      <c r="L5" s="16" t="s">
        <v>90</v>
      </c>
      <c r="M5" s="69">
        <f>'cuentas anuales'!Q28</f>
        <v>2.2</v>
      </c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</row>
    <row r="6" spans="1:171" ht="9.75">
      <c r="A6" s="5" t="s">
        <v>18</v>
      </c>
      <c r="B6" s="63">
        <f>($G$6/$G$4)*B4</f>
        <v>576.81690625</v>
      </c>
      <c r="C6" s="63">
        <f>($G$6/$G$4)*C4</f>
        <v>678.608125</v>
      </c>
      <c r="D6" s="63">
        <f>($G$6/$G$4)*D4</f>
        <v>798.3625000000001</v>
      </c>
      <c r="E6" s="63">
        <f>($G$6/$G$4)*E4</f>
        <v>939.25</v>
      </c>
      <c r="F6" s="63">
        <f>($G$6/$G$4)*F4</f>
        <v>1105</v>
      </c>
      <c r="G6" s="164">
        <f>'cuentas anuales'!D18</f>
        <v>1300</v>
      </c>
      <c r="H6" s="63">
        <f>($G$6/$G$4)*H4</f>
        <v>1494.9999999999998</v>
      </c>
      <c r="I6" s="63">
        <f>($G$6/$G$4)*I4</f>
        <v>1719.2499999999995</v>
      </c>
      <c r="J6" s="63">
        <f>($G$6/$G$4)*J4</f>
        <v>1977.1374999999994</v>
      </c>
      <c r="K6" s="63">
        <f>($G$6/$G$4)*K4</f>
        <v>2273.708124999999</v>
      </c>
      <c r="L6" s="171" t="s">
        <v>102</v>
      </c>
      <c r="M6" s="160">
        <f>'cuentas anuales'!Q29</f>
        <v>0.6</v>
      </c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</row>
    <row r="7" spans="1:171" ht="10.5" thickBot="1">
      <c r="A7" s="5" t="s">
        <v>19</v>
      </c>
      <c r="B7" s="63">
        <f>'cuentas anuales'!$D$19</f>
        <v>400</v>
      </c>
      <c r="C7" s="63">
        <f>'cuentas anuales'!$D$19</f>
        <v>400</v>
      </c>
      <c r="D7" s="63">
        <f>'cuentas anuales'!$D$19</f>
        <v>400</v>
      </c>
      <c r="E7" s="63">
        <f>'cuentas anuales'!$D$19</f>
        <v>400</v>
      </c>
      <c r="F7" s="63">
        <f>'cuentas anuales'!$D$19</f>
        <v>400</v>
      </c>
      <c r="G7" s="164">
        <f>'cuentas anuales'!$D$19</f>
        <v>400</v>
      </c>
      <c r="H7" s="63">
        <f>'cuentas anuales'!$D$19</f>
        <v>400</v>
      </c>
      <c r="I7" s="63">
        <f>'cuentas anuales'!$D$19</f>
        <v>400</v>
      </c>
      <c r="J7" s="63">
        <f>'cuentas anuales'!$D$19</f>
        <v>400</v>
      </c>
      <c r="K7" s="63">
        <f>'cuentas anuales'!$D$19</f>
        <v>400</v>
      </c>
      <c r="L7" s="172" t="s">
        <v>103</v>
      </c>
      <c r="M7" s="159">
        <f>'cuentas anuales'!Q30</f>
        <v>0.65</v>
      </c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</row>
    <row r="8" spans="1:171" ht="10.5" thickBot="1">
      <c r="A8" s="6" t="s">
        <v>20</v>
      </c>
      <c r="B8" s="64">
        <f aca="true" t="shared" si="0" ref="B8:K8">B4-B5-B6-B7</f>
        <v>-206.95990625000002</v>
      </c>
      <c r="C8" s="64">
        <f t="shared" si="0"/>
        <v>-58.1881249999999</v>
      </c>
      <c r="D8" s="64">
        <f t="shared" si="0"/>
        <v>116.83749999999998</v>
      </c>
      <c r="E8" s="64">
        <f t="shared" si="0"/>
        <v>322.75</v>
      </c>
      <c r="F8" s="64">
        <f t="shared" si="0"/>
        <v>565</v>
      </c>
      <c r="G8" s="165">
        <f t="shared" si="0"/>
        <v>850</v>
      </c>
      <c r="H8" s="64">
        <f t="shared" si="0"/>
        <v>1134.9999999999998</v>
      </c>
      <c r="I8" s="64">
        <f t="shared" si="0"/>
        <v>1462.7499999999995</v>
      </c>
      <c r="J8" s="64">
        <f t="shared" si="0"/>
        <v>1839.662499999999</v>
      </c>
      <c r="K8" s="64">
        <f t="shared" si="0"/>
        <v>2273.1118749999987</v>
      </c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</row>
    <row r="9" spans="1:171" s="22" customFormat="1" ht="9.75">
      <c r="A9" s="21" t="s">
        <v>32</v>
      </c>
      <c r="B9" s="65">
        <f aca="true" t="shared" si="1" ref="B9:K9">1+((B7+B5)/B8)</f>
        <v>-4.0734464419965395</v>
      </c>
      <c r="C9" s="65">
        <f t="shared" si="1"/>
        <v>-17.044918958980062</v>
      </c>
      <c r="D9" s="65">
        <f t="shared" si="1"/>
        <v>9.986840697550019</v>
      </c>
      <c r="E9" s="65">
        <f t="shared" si="1"/>
        <v>4.253292021688614</v>
      </c>
      <c r="F9" s="65">
        <f t="shared" si="1"/>
        <v>2.8584070796460175</v>
      </c>
      <c r="G9" s="166">
        <f t="shared" si="1"/>
        <v>2.235294117647059</v>
      </c>
      <c r="H9" s="65">
        <f t="shared" si="1"/>
        <v>1.9251101321585904</v>
      </c>
      <c r="I9" s="65">
        <f t="shared" si="1"/>
        <v>1.717826012647411</v>
      </c>
      <c r="J9" s="65">
        <f t="shared" si="1"/>
        <v>1.570756864370503</v>
      </c>
      <c r="K9" s="65">
        <f t="shared" si="1"/>
        <v>1.4619218312781022</v>
      </c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</row>
    <row r="10" spans="1:171" s="22" customFormat="1" ht="9.75">
      <c r="A10" s="21" t="s">
        <v>85</v>
      </c>
      <c r="B10" s="63">
        <f>(B5+B7)/(1-('cuentas anuales'!$D$18/'cuentas anuales'!$D$16))</f>
        <v>1768.421052631579</v>
      </c>
      <c r="C10" s="63">
        <f>(C5+C7)/(1-('cuentas anuales'!$D$18/'cuentas anuales'!$D$16))</f>
        <v>1768.421052631579</v>
      </c>
      <c r="D10" s="63">
        <f>(D5+D7)/(1-('cuentas anuales'!$D$18/'cuentas anuales'!$D$16))</f>
        <v>1768.421052631579</v>
      </c>
      <c r="E10" s="63">
        <f>(E5+E7)/(1-('cuentas anuales'!$D$18/'cuentas anuales'!$D$16))</f>
        <v>1768.421052631579</v>
      </c>
      <c r="F10" s="63">
        <f>(F5+F7)/(1-('cuentas anuales'!$D$18/'cuentas anuales'!$D$16))</f>
        <v>1768.421052631579</v>
      </c>
      <c r="G10" s="164">
        <f>(G5+G7)/(1-('cuentas anuales'!$D$18/'cuentas anuales'!$D$16))</f>
        <v>1768.421052631579</v>
      </c>
      <c r="H10" s="63">
        <f>(H5+H7)/(1-('cuentas anuales'!$D$18/'cuentas anuales'!$D$16))</f>
        <v>1768.421052631579</v>
      </c>
      <c r="I10" s="63">
        <f>(I5+I7)/(1-('cuentas anuales'!$D$18/'cuentas anuales'!$D$16))</f>
        <v>1768.421052631579</v>
      </c>
      <c r="J10" s="63">
        <f>(J5+J7)/(1-('cuentas anuales'!$D$18/'cuentas anuales'!$D$16))</f>
        <v>1768.421052631579</v>
      </c>
      <c r="K10" s="63">
        <f>(K5+K7)/(1-('cuentas anuales'!$D$18/'cuentas anuales'!$D$16))</f>
        <v>1768.421052631579</v>
      </c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</row>
    <row r="11" spans="1:171" s="22" customFormat="1" ht="10.5" thickBot="1">
      <c r="A11" s="21" t="s">
        <v>86</v>
      </c>
      <c r="B11" s="66">
        <f aca="true" t="shared" si="2" ref="B11:K11">B10/B4</f>
        <v>1.2454923648167238</v>
      </c>
      <c r="C11" s="66">
        <f t="shared" si="2"/>
        <v>1.0586685100942153</v>
      </c>
      <c r="D11" s="66">
        <f t="shared" si="2"/>
        <v>0.8998682335800829</v>
      </c>
      <c r="E11" s="66">
        <f t="shared" si="2"/>
        <v>0.7648879985430704</v>
      </c>
      <c r="F11" s="66">
        <f t="shared" si="2"/>
        <v>0.6501547987616099</v>
      </c>
      <c r="G11" s="167">
        <f t="shared" si="2"/>
        <v>0.5526315789473685</v>
      </c>
      <c r="H11" s="66">
        <f t="shared" si="2"/>
        <v>0.48054919908466825</v>
      </c>
      <c r="I11" s="66">
        <f t="shared" si="2"/>
        <v>0.41786886876927676</v>
      </c>
      <c r="J11" s="66">
        <f t="shared" si="2"/>
        <v>0.36336423371241466</v>
      </c>
      <c r="K11" s="66">
        <f t="shared" si="2"/>
        <v>0.31596889888036056</v>
      </c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</row>
    <row r="12" spans="1:171" ht="9.75">
      <c r="A12" s="4" t="s">
        <v>21</v>
      </c>
      <c r="B12" s="62">
        <f>'cuentas anuales'!$D$21</f>
        <v>262</v>
      </c>
      <c r="C12" s="62">
        <f>'cuentas anuales'!$D$21</f>
        <v>262</v>
      </c>
      <c r="D12" s="62">
        <f>'cuentas anuales'!$D$21</f>
        <v>262</v>
      </c>
      <c r="E12" s="62">
        <f>'cuentas anuales'!$D$21</f>
        <v>262</v>
      </c>
      <c r="F12" s="62">
        <f>'cuentas anuales'!$D$21</f>
        <v>262</v>
      </c>
      <c r="G12" s="163">
        <f>'cuentas anuales'!$D$21</f>
        <v>262</v>
      </c>
      <c r="H12" s="62">
        <f>'cuentas anuales'!$D$21</f>
        <v>262</v>
      </c>
      <c r="I12" s="62">
        <f>'cuentas anuales'!$D$21</f>
        <v>262</v>
      </c>
      <c r="J12" s="62">
        <f>'cuentas anuales'!$D$21</f>
        <v>262</v>
      </c>
      <c r="K12" s="62">
        <f>'cuentas anuales'!$D$21</f>
        <v>262</v>
      </c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</row>
    <row r="13" spans="1:171" ht="10.5" thickBot="1">
      <c r="A13" s="6" t="s">
        <v>22</v>
      </c>
      <c r="B13" s="64">
        <f aca="true" t="shared" si="3" ref="B13:K13">B8-B12</f>
        <v>-468.95990625</v>
      </c>
      <c r="C13" s="64">
        <f t="shared" si="3"/>
        <v>-320.1881249999999</v>
      </c>
      <c r="D13" s="64">
        <f t="shared" si="3"/>
        <v>-145.16250000000002</v>
      </c>
      <c r="E13" s="64">
        <f t="shared" si="3"/>
        <v>60.75</v>
      </c>
      <c r="F13" s="64">
        <f t="shared" si="3"/>
        <v>303</v>
      </c>
      <c r="G13" s="165">
        <f t="shared" si="3"/>
        <v>588</v>
      </c>
      <c r="H13" s="64">
        <f t="shared" si="3"/>
        <v>872.9999999999998</v>
      </c>
      <c r="I13" s="64">
        <f t="shared" si="3"/>
        <v>1200.7499999999995</v>
      </c>
      <c r="J13" s="64">
        <f t="shared" si="3"/>
        <v>1577.662499999999</v>
      </c>
      <c r="K13" s="64">
        <f t="shared" si="3"/>
        <v>2011.1118749999987</v>
      </c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</row>
    <row r="14" spans="1:171" ht="9.75">
      <c r="A14" s="21" t="s">
        <v>42</v>
      </c>
      <c r="B14" s="67">
        <f aca="true" t="shared" si="4" ref="B14:K14">B8/B13</f>
        <v>0.44131684498348306</v>
      </c>
      <c r="C14" s="67">
        <f t="shared" si="4"/>
        <v>0.18173105264287961</v>
      </c>
      <c r="D14" s="67">
        <f t="shared" si="4"/>
        <v>-0.8048738482734863</v>
      </c>
      <c r="E14" s="67">
        <f t="shared" si="4"/>
        <v>5.31275720164609</v>
      </c>
      <c r="F14" s="67">
        <f t="shared" si="4"/>
        <v>1.8646864686468647</v>
      </c>
      <c r="G14" s="168">
        <f t="shared" si="4"/>
        <v>1.445578231292517</v>
      </c>
      <c r="H14" s="67">
        <f t="shared" si="4"/>
        <v>1.300114547537228</v>
      </c>
      <c r="I14" s="67">
        <f t="shared" si="4"/>
        <v>1.2181969602331877</v>
      </c>
      <c r="J14" s="67">
        <f t="shared" si="4"/>
        <v>1.1660684715520588</v>
      </c>
      <c r="K14" s="67">
        <f t="shared" si="4"/>
        <v>1.1302761936105619</v>
      </c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</row>
    <row r="15" spans="1:171" ht="9.75">
      <c r="A15" s="21" t="s">
        <v>43</v>
      </c>
      <c r="B15" s="67">
        <f aca="true" t="shared" si="5" ref="B15:K15">B14*B9</f>
        <v>-1.7976805319911073</v>
      </c>
      <c r="C15" s="67">
        <f t="shared" si="5"/>
        <v>-3.0975910646280225</v>
      </c>
      <c r="D15" s="67">
        <f t="shared" si="5"/>
        <v>-8.038146904331352</v>
      </c>
      <c r="E15" s="67">
        <f t="shared" si="5"/>
        <v>22.596707818930042</v>
      </c>
      <c r="F15" s="67">
        <f t="shared" si="5"/>
        <v>5.33003300330033</v>
      </c>
      <c r="G15" s="168">
        <f t="shared" si="5"/>
        <v>3.2312925170068025</v>
      </c>
      <c r="H15" s="67">
        <f t="shared" si="5"/>
        <v>2.5028636884306987</v>
      </c>
      <c r="I15" s="67">
        <f t="shared" si="5"/>
        <v>2.0926504268165735</v>
      </c>
      <c r="J15" s="67">
        <f t="shared" si="5"/>
        <v>1.831610056016417</v>
      </c>
      <c r="K15" s="67">
        <f t="shared" si="5"/>
        <v>1.6523754428131954</v>
      </c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</row>
    <row r="16" spans="1:171" ht="9.75">
      <c r="A16" s="21" t="s">
        <v>87</v>
      </c>
      <c r="B16" s="63">
        <f>(B5+B7+B12)/(1-('cuentas anuales'!$D$18/'cuentas anuales'!$D$16))</f>
        <v>2209.684210526316</v>
      </c>
      <c r="C16" s="63">
        <f>(C5+C7+C12)/(1-('cuentas anuales'!$D$18/'cuentas anuales'!$D$16))</f>
        <v>2209.684210526316</v>
      </c>
      <c r="D16" s="63">
        <f>(D5+D7+D12)/(1-('cuentas anuales'!$D$18/'cuentas anuales'!$D$16))</f>
        <v>2209.684210526316</v>
      </c>
      <c r="E16" s="63">
        <f>(E5+E7+E12)/(1-('cuentas anuales'!$D$18/'cuentas anuales'!$D$16))</f>
        <v>2209.684210526316</v>
      </c>
      <c r="F16" s="63">
        <f>(F5+F7+F12)/(1-('cuentas anuales'!$D$18/'cuentas anuales'!$D$16))</f>
        <v>2209.684210526316</v>
      </c>
      <c r="G16" s="164">
        <f>(G5+G7+G12)/(1-('cuentas anuales'!$D$18/'cuentas anuales'!$D$16))</f>
        <v>2209.684210526316</v>
      </c>
      <c r="H16" s="63">
        <f>(H5+H7+H12)/(1-('cuentas anuales'!$D$18/'cuentas anuales'!$D$16))</f>
        <v>2209.684210526316</v>
      </c>
      <c r="I16" s="63">
        <f>(I5+I7+I12)/(1-('cuentas anuales'!$D$18/'cuentas anuales'!$D$16))</f>
        <v>2209.684210526316</v>
      </c>
      <c r="J16" s="63">
        <f>(J5+J7+J12)/(1-('cuentas anuales'!$D$18/'cuentas anuales'!$D$16))</f>
        <v>2209.684210526316</v>
      </c>
      <c r="K16" s="63">
        <f>(K5+K7+K12)/(1-('cuentas anuales'!$D$18/'cuentas anuales'!$D$16))</f>
        <v>2209.684210526316</v>
      </c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</row>
    <row r="17" spans="1:171" ht="10.5" thickBot="1">
      <c r="A17" s="60" t="s">
        <v>88</v>
      </c>
      <c r="B17" s="68">
        <f aca="true" t="shared" si="6" ref="B17:K17">B16/B4</f>
        <v>1.5562723644186112</v>
      </c>
      <c r="C17" s="68">
        <f t="shared" si="6"/>
        <v>1.3228315097558194</v>
      </c>
      <c r="D17" s="68">
        <f t="shared" si="6"/>
        <v>1.1244067832924465</v>
      </c>
      <c r="E17" s="68">
        <f t="shared" si="6"/>
        <v>0.9557457657985795</v>
      </c>
      <c r="F17" s="68">
        <f t="shared" si="6"/>
        <v>0.8123839009287925</v>
      </c>
      <c r="G17" s="169">
        <f t="shared" si="6"/>
        <v>0.6905263157894737</v>
      </c>
      <c r="H17" s="68">
        <f t="shared" si="6"/>
        <v>0.6004576659038903</v>
      </c>
      <c r="I17" s="68">
        <f t="shared" si="6"/>
        <v>0.5221371007859915</v>
      </c>
      <c r="J17" s="68">
        <f t="shared" si="6"/>
        <v>0.4540322615530362</v>
      </c>
      <c r="K17" s="68">
        <f t="shared" si="6"/>
        <v>0.39481066222003147</v>
      </c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</row>
    <row r="18" spans="1:171" ht="10.5" thickBot="1">
      <c r="A18" s="161" t="s">
        <v>23</v>
      </c>
      <c r="B18" s="173">
        <f>B13*(1-('cuentas anuales'!$D$23/'cuentas anuales'!$D$22))</f>
        <v>-299.0815728635204</v>
      </c>
      <c r="C18" s="173">
        <f>C13*(1-('cuentas anuales'!$D$23/'cuentas anuales'!$D$22))</f>
        <v>-204.2016103316326</v>
      </c>
      <c r="D18" s="173">
        <f>D13*(1-('cuentas anuales'!$D$23/'cuentas anuales'!$D$22))</f>
        <v>-92.57812500000001</v>
      </c>
      <c r="E18" s="173">
        <f>E13*(1-('cuentas anuales'!$D$23/'cuentas anuales'!$D$22))</f>
        <v>38.74362244897959</v>
      </c>
      <c r="F18" s="173">
        <f>F13*(1-('cuentas anuales'!$D$23/'cuentas anuales'!$D$22))</f>
        <v>193.23979591836735</v>
      </c>
      <c r="G18" s="170">
        <f>G13*(1-('cuentas anuales'!$D$23/'cuentas anuales'!$D$22))</f>
        <v>375</v>
      </c>
      <c r="H18" s="173">
        <f>H13*(1-('cuentas anuales'!$D$23/'cuentas anuales'!$D$22))</f>
        <v>556.7602040816325</v>
      </c>
      <c r="I18" s="173">
        <f>I13*(1-('cuentas anuales'!$D$23/'cuentas anuales'!$D$22))</f>
        <v>765.7844387755099</v>
      </c>
      <c r="J18" s="173">
        <f>J13*(1-('cuentas anuales'!$D$23/'cuentas anuales'!$D$22))</f>
        <v>1006.1623086734687</v>
      </c>
      <c r="K18" s="173">
        <f>K13*(1-('cuentas anuales'!$D$23/'cuentas anuales'!$D$22))</f>
        <v>1282.5968590561215</v>
      </c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</row>
    <row r="19" spans="9:171" ht="9.75" thickBot="1">
      <c r="I19" s="61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</row>
  </sheetData>
  <sheetProtection sheet="1" objects="1" scenarios="1"/>
  <mergeCells count="2">
    <mergeCell ref="L2:M2"/>
    <mergeCell ref="A2:K2"/>
  </mergeCells>
  <printOptions horizontalCentered="1" verticalCentered="1"/>
  <pageMargins left="0.75" right="0.75" top="1" bottom="1" header="0" footer="0"/>
  <pageSetup horizontalDpi="200" verticalDpi="200" orientation="landscape" r:id="rId4"/>
  <headerFooter alignWithMargins="0">
    <oddHeader>&amp;CAPALANCAMIENTO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Fernandez Dobao</dc:creator>
  <cp:keywords/>
  <dc:description/>
  <cp:lastModifiedBy>X</cp:lastModifiedBy>
  <cp:lastPrinted>2001-03-30T16:48:19Z</cp:lastPrinted>
  <dcterms:created xsi:type="dcterms:W3CDTF">2000-03-13T10:10:24Z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