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240" yWindow="45" windowWidth="12120" windowHeight="7995" tabRatio="726" activeTab="1"/>
  </bookViews>
  <sheets>
    <sheet name="Modelo" sheetId="6" r:id="rId1"/>
    <sheet name="Indicadores" sheetId="23" r:id="rId2"/>
    <sheet name="Sector" sheetId="27" r:id="rId3"/>
    <sheet name="Asientos" sheetId="28" r:id="rId4"/>
  </sheets>
  <definedNames>
    <definedName name="D" localSheetId="1">#REF!</definedName>
    <definedName name="D">#REF!</definedName>
    <definedName name="E__Sería_excepcional">Indicadores!$T$1114:$W$1114</definedName>
    <definedName name="MIVALORBUSCADO" localSheetId="1">#REF!</definedName>
    <definedName name="MIVALORBUSCADO">#REF!</definedName>
  </definedNames>
  <calcPr calcId="145621"/>
</workbook>
</file>

<file path=xl/calcChain.xml><?xml version="1.0" encoding="utf-8"?>
<calcChain xmlns="http://schemas.openxmlformats.org/spreadsheetml/2006/main">
  <c r="G15" i="28" l="1"/>
  <c r="H15" i="28" s="1"/>
  <c r="G14" i="28"/>
  <c r="H14" i="28" s="1"/>
  <c r="G12" i="28"/>
  <c r="H12" i="28" s="1"/>
  <c r="G6" i="28"/>
  <c r="H6" i="28" s="1"/>
  <c r="H13" i="28"/>
  <c r="G5" i="28"/>
  <c r="H5" i="28" s="1"/>
  <c r="I819" i="23" l="1"/>
  <c r="J819" i="23"/>
  <c r="I820" i="23"/>
  <c r="I821" i="23"/>
  <c r="I822" i="23"/>
  <c r="I823" i="23"/>
  <c r="J820" i="23"/>
  <c r="J821" i="23"/>
  <c r="J822" i="23"/>
  <c r="E862" i="23"/>
  <c r="F862" i="23"/>
  <c r="G862" i="23"/>
  <c r="H862" i="23"/>
  <c r="D862" i="23"/>
  <c r="L402" i="23"/>
  <c r="G128" i="28"/>
  <c r="D228" i="23" l="1"/>
  <c r="G17" i="28"/>
  <c r="H17" i="28" s="1"/>
  <c r="D222" i="23"/>
  <c r="D220" i="23"/>
  <c r="E117" i="23"/>
  <c r="G11" i="28" s="1"/>
  <c r="H11" i="28" s="1"/>
  <c r="D216" i="23"/>
  <c r="G24" i="28" l="1"/>
  <c r="H24" i="28" s="1"/>
  <c r="G43" i="28"/>
  <c r="D325" i="23"/>
  <c r="B828" i="23"/>
  <c r="E319" i="23"/>
  <c r="F319" i="23" s="1"/>
  <c r="G319" i="23" s="1"/>
  <c r="H319" i="23" s="1"/>
  <c r="E318" i="23"/>
  <c r="F318" i="23" s="1"/>
  <c r="G318" i="23" s="1"/>
  <c r="H318" i="23" s="1"/>
  <c r="E317" i="23"/>
  <c r="F317" i="23" s="1"/>
  <c r="G317" i="23" s="1"/>
  <c r="H317" i="23" s="1"/>
  <c r="E316" i="23"/>
  <c r="F316" i="23" s="1"/>
  <c r="G316" i="23" s="1"/>
  <c r="H316" i="23" s="1"/>
  <c r="E314" i="23"/>
  <c r="F314" i="23" s="1"/>
  <c r="G314" i="23" s="1"/>
  <c r="H314" i="23" s="1"/>
  <c r="E312" i="23"/>
  <c r="F312" i="23" s="1"/>
  <c r="G312" i="23" s="1"/>
  <c r="H312" i="23" s="1"/>
  <c r="E311" i="23"/>
  <c r="F311" i="23" s="1"/>
  <c r="G311" i="23" s="1"/>
  <c r="H311" i="23" s="1"/>
  <c r="E310" i="23"/>
  <c r="F310" i="23" s="1"/>
  <c r="G310" i="23" s="1"/>
  <c r="H310" i="23" s="1"/>
  <c r="E309" i="23"/>
  <c r="F309" i="23" s="1"/>
  <c r="G309" i="23" s="1"/>
  <c r="H309" i="23" s="1"/>
  <c r="M1111" i="23"/>
  <c r="D294" i="23"/>
  <c r="D293" i="23"/>
  <c r="AG289" i="23"/>
  <c r="AF289" i="23"/>
  <c r="AE289" i="23"/>
  <c r="AD289" i="23"/>
  <c r="AC289" i="23"/>
  <c r="AB289" i="23"/>
  <c r="AA289" i="23"/>
  <c r="Z289" i="23"/>
  <c r="Y289" i="23"/>
  <c r="Q288" i="23"/>
  <c r="D289" i="23" s="1"/>
  <c r="G44" i="28" l="1"/>
  <c r="H43" i="28"/>
  <c r="D227" i="23"/>
  <c r="E227" i="23" s="1"/>
  <c r="F227" i="23" s="1"/>
  <c r="G227" i="23" s="1"/>
  <c r="H227" i="23" s="1"/>
  <c r="I227" i="23" s="1"/>
  <c r="J227" i="23" s="1"/>
  <c r="K227" i="23" s="1"/>
  <c r="L227" i="23" s="1"/>
  <c r="M227" i="23" s="1"/>
  <c r="N227" i="23" s="1"/>
  <c r="O227" i="23" s="1"/>
  <c r="D224" i="23"/>
  <c r="E224" i="23" s="1"/>
  <c r="F224" i="23" s="1"/>
  <c r="G224" i="23" s="1"/>
  <c r="H224" i="23" s="1"/>
  <c r="I224" i="23" s="1"/>
  <c r="J224" i="23" s="1"/>
  <c r="K224" i="23" s="1"/>
  <c r="L224" i="23" s="1"/>
  <c r="M224" i="23" s="1"/>
  <c r="N224" i="23" s="1"/>
  <c r="O224" i="23" s="1"/>
  <c r="D225" i="23"/>
  <c r="E225" i="23" s="1"/>
  <c r="B1124" i="23"/>
  <c r="B1111" i="23"/>
  <c r="B1070" i="23"/>
  <c r="B1039" i="23"/>
  <c r="C275" i="23"/>
  <c r="C202" i="23"/>
  <c r="C175" i="23"/>
  <c r="C155" i="23"/>
  <c r="C105" i="23"/>
  <c r="C64" i="23"/>
  <c r="C17" i="23"/>
  <c r="C5" i="23"/>
  <c r="D218" i="23"/>
  <c r="D226" i="23"/>
  <c r="E226" i="23" s="1"/>
  <c r="F226" i="23" s="1"/>
  <c r="G226" i="23" s="1"/>
  <c r="H226" i="23" s="1"/>
  <c r="I226" i="23" s="1"/>
  <c r="J226" i="23" s="1"/>
  <c r="K226" i="23" s="1"/>
  <c r="L226" i="23" s="1"/>
  <c r="M226" i="23" s="1"/>
  <c r="N226" i="23" s="1"/>
  <c r="O226" i="23" s="1"/>
  <c r="D223" i="23"/>
  <c r="E222" i="23"/>
  <c r="F222" i="23" s="1"/>
  <c r="G222" i="23" s="1"/>
  <c r="H222" i="23" s="1"/>
  <c r="I222" i="23" s="1"/>
  <c r="J222" i="23" s="1"/>
  <c r="K222" i="23" s="1"/>
  <c r="L222" i="23" s="1"/>
  <c r="M222" i="23" s="1"/>
  <c r="N222" i="23" s="1"/>
  <c r="O222" i="23" s="1"/>
  <c r="F225" i="23" l="1"/>
  <c r="G31" i="28"/>
  <c r="H31" i="28" s="1"/>
  <c r="H44" i="28"/>
  <c r="G45" i="28"/>
  <c r="E223" i="23"/>
  <c r="F223" i="23" s="1"/>
  <c r="G223" i="23" s="1"/>
  <c r="H223" i="23" s="1"/>
  <c r="I223" i="23" s="1"/>
  <c r="J223" i="23" s="1"/>
  <c r="K223" i="23" s="1"/>
  <c r="L223" i="23" s="1"/>
  <c r="M223" i="23" s="1"/>
  <c r="N223" i="23" s="1"/>
  <c r="O223" i="23" s="1"/>
  <c r="D722" i="23"/>
  <c r="E315" i="23"/>
  <c r="F1017" i="23"/>
  <c r="G1017" i="23" s="1"/>
  <c r="H1017" i="23"/>
  <c r="H1018" i="23" s="1"/>
  <c r="F1018" i="23"/>
  <c r="F1019" i="23"/>
  <c r="F1020" i="23"/>
  <c r="D1023" i="23"/>
  <c r="E1017" i="23" s="1"/>
  <c r="F136" i="23"/>
  <c r="F135" i="23"/>
  <c r="F134" i="23"/>
  <c r="F133" i="23"/>
  <c r="F132" i="23"/>
  <c r="G117" i="28" s="1"/>
  <c r="D221" i="23"/>
  <c r="D215" i="23"/>
  <c r="K184" i="23"/>
  <c r="I184" i="23"/>
  <c r="H185" i="23"/>
  <c r="I185" i="23" s="1"/>
  <c r="E162" i="23"/>
  <c r="E157" i="23"/>
  <c r="D146" i="23"/>
  <c r="D148" i="23"/>
  <c r="E107" i="23"/>
  <c r="E1185" i="23"/>
  <c r="E1184" i="23"/>
  <c r="E1183" i="23"/>
  <c r="E1182" i="23"/>
  <c r="E1181" i="23"/>
  <c r="E1180" i="23"/>
  <c r="E1179" i="23"/>
  <c r="E1178" i="23"/>
  <c r="E1177" i="23"/>
  <c r="E1175" i="23"/>
  <c r="E1174" i="23"/>
  <c r="E1173" i="23"/>
  <c r="E1172" i="23"/>
  <c r="E1171" i="23"/>
  <c r="E1170" i="23"/>
  <c r="E1169" i="23"/>
  <c r="E1168" i="23"/>
  <c r="E1167" i="23"/>
  <c r="E1165" i="23"/>
  <c r="E1164" i="23"/>
  <c r="E1163" i="23"/>
  <c r="E1162" i="23"/>
  <c r="E1161" i="23"/>
  <c r="E1160" i="23"/>
  <c r="E1159" i="23"/>
  <c r="E1158" i="23"/>
  <c r="E1157" i="23"/>
  <c r="E1155" i="23"/>
  <c r="E1154" i="23"/>
  <c r="E1153" i="23"/>
  <c r="E1152" i="23"/>
  <c r="E1151" i="23"/>
  <c r="E1150" i="23"/>
  <c r="E1149" i="23"/>
  <c r="E1148" i="23"/>
  <c r="E1147" i="23"/>
  <c r="D335" i="23" l="1"/>
  <c r="E335" i="23" s="1"/>
  <c r="F335" i="23" s="1"/>
  <c r="G335" i="23" s="1"/>
  <c r="H335" i="23" s="1"/>
  <c r="G7" i="28"/>
  <c r="H7" i="28" s="1"/>
  <c r="G116" i="28"/>
  <c r="G131" i="28" s="1"/>
  <c r="G225" i="23"/>
  <c r="G32" i="28"/>
  <c r="H32" i="28" s="1"/>
  <c r="D307" i="23"/>
  <c r="E307" i="23" s="1"/>
  <c r="F307" i="23" s="1"/>
  <c r="G307" i="23" s="1"/>
  <c r="H307" i="23" s="1"/>
  <c r="D308" i="23"/>
  <c r="D360" i="23" s="1"/>
  <c r="D1058" i="23" s="1"/>
  <c r="D234" i="23"/>
  <c r="G10" i="28"/>
  <c r="H10" i="28" s="1"/>
  <c r="G18" i="28"/>
  <c r="H18" i="28" s="1"/>
  <c r="G23" i="28"/>
  <c r="H23" i="28" s="1"/>
  <c r="E325" i="23"/>
  <c r="F325" i="23" s="1"/>
  <c r="G325" i="23" s="1"/>
  <c r="H325" i="23" s="1"/>
  <c r="D327" i="23"/>
  <c r="E327" i="23" s="1"/>
  <c r="F327" i="23" s="1"/>
  <c r="G327" i="23" s="1"/>
  <c r="H327" i="23" s="1"/>
  <c r="H45" i="28"/>
  <c r="G46" i="28"/>
  <c r="F315" i="23"/>
  <c r="E722" i="23"/>
  <c r="E221" i="23"/>
  <c r="F221" i="23" s="1"/>
  <c r="G221" i="23" s="1"/>
  <c r="H221" i="23" s="1"/>
  <c r="E126" i="23"/>
  <c r="E105" i="23" s="1"/>
  <c r="D168" i="23" s="1"/>
  <c r="D231" i="23"/>
  <c r="E231" i="23" s="1"/>
  <c r="F231" i="23" s="1"/>
  <c r="G231" i="23" s="1"/>
  <c r="H231" i="23" s="1"/>
  <c r="I231" i="23" s="1"/>
  <c r="J231" i="23" s="1"/>
  <c r="K231" i="23" s="1"/>
  <c r="L231" i="23" s="1"/>
  <c r="M231" i="23" s="1"/>
  <c r="N231" i="23" s="1"/>
  <c r="O231" i="23" s="1"/>
  <c r="E1019" i="23"/>
  <c r="E1018" i="23"/>
  <c r="H1019" i="23"/>
  <c r="G1018" i="23"/>
  <c r="E1020" i="23"/>
  <c r="K185" i="23"/>
  <c r="H186" i="23"/>
  <c r="E215" i="23"/>
  <c r="E220" i="23"/>
  <c r="E308" i="23" l="1"/>
  <c r="E360" i="23" s="1"/>
  <c r="E1058" i="23" s="1"/>
  <c r="H225" i="23"/>
  <c r="G33" i="28"/>
  <c r="H33" i="28" s="1"/>
  <c r="F220" i="23"/>
  <c r="G92" i="28"/>
  <c r="G55" i="28"/>
  <c r="F215" i="23"/>
  <c r="F214" i="23" s="1"/>
  <c r="H104" i="28"/>
  <c r="G104" i="28" s="1"/>
  <c r="G127" i="28"/>
  <c r="J400" i="23"/>
  <c r="F308" i="23"/>
  <c r="I169" i="23"/>
  <c r="Z230" i="23"/>
  <c r="AD225" i="23"/>
  <c r="V225" i="23"/>
  <c r="Z220" i="23"/>
  <c r="AD215" i="23"/>
  <c r="V215" i="23"/>
  <c r="AA229" i="23"/>
  <c r="AE224" i="23"/>
  <c r="W224" i="23"/>
  <c r="AA219" i="23"/>
  <c r="AE214" i="23"/>
  <c r="W214" i="23"/>
  <c r="U214" i="23"/>
  <c r="AE230" i="23"/>
  <c r="AA225" i="23"/>
  <c r="AA215" i="23"/>
  <c r="AB224" i="23"/>
  <c r="AD230" i="23"/>
  <c r="AD220" i="23"/>
  <c r="AE229" i="23"/>
  <c r="AE219" i="23"/>
  <c r="X225" i="23"/>
  <c r="AF215" i="23"/>
  <c r="AC229" i="23"/>
  <c r="Y224" i="23"/>
  <c r="U219" i="23"/>
  <c r="AE225" i="23"/>
  <c r="AA220" i="23"/>
  <c r="W215" i="23"/>
  <c r="X224" i="23"/>
  <c r="AF214" i="23"/>
  <c r="Y230" i="23"/>
  <c r="AC225" i="23"/>
  <c r="U225" i="23"/>
  <c r="Y220" i="23"/>
  <c r="AC215" i="23"/>
  <c r="U215" i="23"/>
  <c r="Z229" i="23"/>
  <c r="AD224" i="23"/>
  <c r="V224" i="23"/>
  <c r="Z219" i="23"/>
  <c r="AD214" i="23"/>
  <c r="D229" i="23"/>
  <c r="AE220" i="23"/>
  <c r="AF229" i="23"/>
  <c r="AF219" i="23"/>
  <c r="AB214" i="23"/>
  <c r="Z225" i="23"/>
  <c r="Z215" i="23"/>
  <c r="AA224" i="23"/>
  <c r="AA214" i="23"/>
  <c r="AB229" i="23"/>
  <c r="X214" i="23"/>
  <c r="AF230" i="23"/>
  <c r="X230" i="23"/>
  <c r="AB225" i="23"/>
  <c r="AF220" i="23"/>
  <c r="X220" i="23"/>
  <c r="AB215" i="23"/>
  <c r="V214" i="23"/>
  <c r="Y229" i="23"/>
  <c r="AC224" i="23"/>
  <c r="U224" i="23"/>
  <c r="Y219" i="23"/>
  <c r="AC214" i="23"/>
  <c r="W230" i="23"/>
  <c r="W220" i="23"/>
  <c r="X229" i="23"/>
  <c r="X219" i="23"/>
  <c r="V230" i="23"/>
  <c r="V220" i="23"/>
  <c r="W229" i="23"/>
  <c r="W219" i="23"/>
  <c r="AB230" i="23"/>
  <c r="AF225" i="23"/>
  <c r="AB220" i="23"/>
  <c r="X215" i="23"/>
  <c r="U229" i="23"/>
  <c r="AC219" i="23"/>
  <c r="Y214" i="23"/>
  <c r="AA230" i="23"/>
  <c r="W225" i="23"/>
  <c r="AE215" i="23"/>
  <c r="AF224" i="23"/>
  <c r="AB219" i="23"/>
  <c r="AC230" i="23"/>
  <c r="U230" i="23"/>
  <c r="Y225" i="23"/>
  <c r="AC220" i="23"/>
  <c r="U220" i="23"/>
  <c r="Y215" i="23"/>
  <c r="AD229" i="23"/>
  <c r="V229" i="23"/>
  <c r="Z224" i="23"/>
  <c r="AD219" i="23"/>
  <c r="V219" i="23"/>
  <c r="Z214" i="23"/>
  <c r="G47" i="28"/>
  <c r="H46" i="28"/>
  <c r="I221" i="23"/>
  <c r="J221" i="23" s="1"/>
  <c r="K221" i="23" s="1"/>
  <c r="L221" i="23" s="1"/>
  <c r="M221" i="23" s="1"/>
  <c r="N221" i="23" s="1"/>
  <c r="O221" i="23" s="1"/>
  <c r="G315" i="23"/>
  <c r="F722" i="23"/>
  <c r="E1023" i="23"/>
  <c r="J230" i="23"/>
  <c r="G85" i="28" s="1"/>
  <c r="H85" i="28" s="1"/>
  <c r="N229" i="23"/>
  <c r="G77" i="28" s="1"/>
  <c r="H77" i="28" s="1"/>
  <c r="F229" i="23"/>
  <c r="G69" i="28" s="1"/>
  <c r="H69" i="28" s="1"/>
  <c r="J229" i="23"/>
  <c r="G73" i="28" s="1"/>
  <c r="H73" i="28" s="1"/>
  <c r="K230" i="23"/>
  <c r="G86" i="28" s="1"/>
  <c r="H86" i="28" s="1"/>
  <c r="I230" i="23"/>
  <c r="G84" i="28" s="1"/>
  <c r="H84" i="28" s="1"/>
  <c r="M229" i="23"/>
  <c r="G76" i="28" s="1"/>
  <c r="H76" i="28" s="1"/>
  <c r="E229" i="23"/>
  <c r="G68" i="28" s="1"/>
  <c r="K229" i="23"/>
  <c r="G74" i="28" s="1"/>
  <c r="H74" i="28" s="1"/>
  <c r="N230" i="23"/>
  <c r="G89" i="28" s="1"/>
  <c r="H89" i="28" s="1"/>
  <c r="F230" i="23"/>
  <c r="G81" i="28" s="1"/>
  <c r="H81" i="28" s="1"/>
  <c r="H230" i="23"/>
  <c r="G83" i="28" s="1"/>
  <c r="H83" i="28" s="1"/>
  <c r="L229" i="23"/>
  <c r="G75" i="28" s="1"/>
  <c r="H75" i="28" s="1"/>
  <c r="O230" i="23"/>
  <c r="G90" i="28" s="1"/>
  <c r="H90" i="28" s="1"/>
  <c r="G230" i="23"/>
  <c r="G82" i="28" s="1"/>
  <c r="H82" i="28" s="1"/>
  <c r="I170" i="23"/>
  <c r="O229" i="23"/>
  <c r="G78" i="28" s="1"/>
  <c r="H78" i="28" s="1"/>
  <c r="M230" i="23"/>
  <c r="G88" i="28" s="1"/>
  <c r="H88" i="28" s="1"/>
  <c r="E230" i="23"/>
  <c r="G80" i="28" s="1"/>
  <c r="H80" i="28" s="1"/>
  <c r="I229" i="23"/>
  <c r="G72" i="28" s="1"/>
  <c r="H72" i="28" s="1"/>
  <c r="L230" i="23"/>
  <c r="G87" i="28" s="1"/>
  <c r="H87" i="28" s="1"/>
  <c r="D230" i="23"/>
  <c r="G21" i="28" s="1"/>
  <c r="H21" i="28" s="1"/>
  <c r="H229" i="23"/>
  <c r="G71" i="28" s="1"/>
  <c r="H71" i="28" s="1"/>
  <c r="G229" i="23"/>
  <c r="G70" i="28" s="1"/>
  <c r="H70" i="28" s="1"/>
  <c r="E166" i="23"/>
  <c r="D217" i="23"/>
  <c r="D214" i="23" s="1"/>
  <c r="G1019" i="23"/>
  <c r="H1020" i="23"/>
  <c r="K186" i="23"/>
  <c r="I186" i="23"/>
  <c r="H187" i="23"/>
  <c r="E214" i="23"/>
  <c r="I225" i="23" l="1"/>
  <c r="G34" i="28"/>
  <c r="H34" i="28" s="1"/>
  <c r="G56" i="28"/>
  <c r="H55" i="28"/>
  <c r="D358" i="23"/>
  <c r="G215" i="23"/>
  <c r="H105" i="28"/>
  <c r="G220" i="23"/>
  <c r="G219" i="23" s="1"/>
  <c r="G93" i="28"/>
  <c r="H93" i="28" s="1"/>
  <c r="H92" i="28"/>
  <c r="G345" i="23"/>
  <c r="G366" i="23"/>
  <c r="G308" i="23"/>
  <c r="F360" i="23"/>
  <c r="F1058" i="23" s="1"/>
  <c r="H366" i="23"/>
  <c r="D345" i="23"/>
  <c r="D342" i="23" s="1"/>
  <c r="E366" i="23"/>
  <c r="D366" i="23"/>
  <c r="E345" i="23"/>
  <c r="F345" i="23"/>
  <c r="F366" i="23"/>
  <c r="G8" i="28"/>
  <c r="H8" i="28" s="1"/>
  <c r="G20" i="28"/>
  <c r="H68" i="28"/>
  <c r="I168" i="23"/>
  <c r="G48" i="28"/>
  <c r="H47" i="28"/>
  <c r="F219" i="23"/>
  <c r="F235" i="23" s="1"/>
  <c r="H315" i="23"/>
  <c r="H722" i="23" s="1"/>
  <c r="G722" i="23"/>
  <c r="E219" i="23"/>
  <c r="E235" i="23" s="1"/>
  <c r="E155" i="23"/>
  <c r="D219" i="23"/>
  <c r="D235" i="23" s="1"/>
  <c r="D236" i="23" s="1"/>
  <c r="G1020" i="23"/>
  <c r="I1017" i="23"/>
  <c r="J1017" i="23" s="1"/>
  <c r="I1020" i="23"/>
  <c r="I1018" i="23"/>
  <c r="I1019" i="23"/>
  <c r="K187" i="23"/>
  <c r="I187" i="23"/>
  <c r="H188" i="23"/>
  <c r="D179" i="23"/>
  <c r="J225" i="23" l="1"/>
  <c r="G35" i="28"/>
  <c r="H35" i="28" s="1"/>
  <c r="G129" i="28"/>
  <c r="H20" i="28"/>
  <c r="H27" i="28" s="1"/>
  <c r="H220" i="23"/>
  <c r="G94" i="28"/>
  <c r="H94" i="28" s="1"/>
  <c r="G105" i="28"/>
  <c r="H400" i="23"/>
  <c r="E358" i="23"/>
  <c r="F358" i="23" s="1"/>
  <c r="G358" i="23" s="1"/>
  <c r="D338" i="23"/>
  <c r="E338" i="23" s="1"/>
  <c r="F338" i="23" s="1"/>
  <c r="G338" i="23" s="1"/>
  <c r="H338" i="23" s="1"/>
  <c r="H106" i="28"/>
  <c r="G106" i="28" s="1"/>
  <c r="G214" i="23"/>
  <c r="G235" i="23" s="1"/>
  <c r="H215" i="23"/>
  <c r="H56" i="28"/>
  <c r="G57" i="28"/>
  <c r="H308" i="23"/>
  <c r="H360" i="23" s="1"/>
  <c r="H1058" i="23" s="1"/>
  <c r="G360" i="23"/>
  <c r="G1058" i="23" s="1"/>
  <c r="G26" i="28"/>
  <c r="D370" i="23"/>
  <c r="M404" i="23"/>
  <c r="D1053" i="23"/>
  <c r="G49" i="28"/>
  <c r="H48" i="28"/>
  <c r="D1062" i="23"/>
  <c r="N1062" i="23" s="1"/>
  <c r="L1111" i="23"/>
  <c r="E236" i="23"/>
  <c r="F236" i="23" s="1"/>
  <c r="J188" i="23"/>
  <c r="J197" i="23"/>
  <c r="J190" i="23"/>
  <c r="J193" i="23"/>
  <c r="J186" i="23"/>
  <c r="L186" i="23" s="1"/>
  <c r="M186" i="23" s="1"/>
  <c r="J192" i="23"/>
  <c r="J189" i="23"/>
  <c r="J191" i="23"/>
  <c r="J185" i="23"/>
  <c r="L185" i="23" s="1"/>
  <c r="M185" i="23" s="1"/>
  <c r="J195" i="23"/>
  <c r="D181" i="23"/>
  <c r="J187" i="23"/>
  <c r="L187" i="23" s="1"/>
  <c r="M187" i="23" s="1"/>
  <c r="J194" i="23"/>
  <c r="J196" i="23"/>
  <c r="J184" i="23"/>
  <c r="L184" i="23" s="1"/>
  <c r="M184" i="23" s="1"/>
  <c r="J1018" i="23"/>
  <c r="J1019" i="23"/>
  <c r="J1020" i="23"/>
  <c r="K188" i="23"/>
  <c r="I188" i="23"/>
  <c r="H189" i="23"/>
  <c r="G28" i="28" l="1"/>
  <c r="K225" i="23"/>
  <c r="G36" i="28"/>
  <c r="H36" i="28" s="1"/>
  <c r="G58" i="28"/>
  <c r="H57" i="28"/>
  <c r="H107" i="28"/>
  <c r="H214" i="23"/>
  <c r="H235" i="23" s="1"/>
  <c r="I215" i="23"/>
  <c r="I220" i="23"/>
  <c r="G95" i="28"/>
  <c r="H219" i="23"/>
  <c r="H358" i="23"/>
  <c r="G50" i="28"/>
  <c r="H49" i="28"/>
  <c r="L188" i="23"/>
  <c r="M188" i="23" s="1"/>
  <c r="J1023" i="23"/>
  <c r="D1024" i="23" s="1"/>
  <c r="G236" i="23"/>
  <c r="K189" i="23"/>
  <c r="L189" i="23" s="1"/>
  <c r="I189" i="23"/>
  <c r="H190" i="23"/>
  <c r="L225" i="23" l="1"/>
  <c r="G37" i="28"/>
  <c r="H37" i="28" s="1"/>
  <c r="H108" i="28"/>
  <c r="G108" i="28" s="1"/>
  <c r="I214" i="23"/>
  <c r="J215" i="23"/>
  <c r="G107" i="28"/>
  <c r="H95" i="28"/>
  <c r="G96" i="28"/>
  <c r="H96" i="28" s="1"/>
  <c r="J220" i="23"/>
  <c r="I219" i="23"/>
  <c r="H58" i="28"/>
  <c r="G59" i="28"/>
  <c r="G51" i="28"/>
  <c r="H50" i="28"/>
  <c r="H236" i="23"/>
  <c r="M189" i="23"/>
  <c r="I190" i="23"/>
  <c r="K190" i="23"/>
  <c r="L190" i="23" s="1"/>
  <c r="H191" i="23"/>
  <c r="I235" i="23"/>
  <c r="E738" i="23"/>
  <c r="E739" i="23" s="1"/>
  <c r="F738" i="23"/>
  <c r="G738" i="23"/>
  <c r="G739" i="23" s="1"/>
  <c r="H738" i="23"/>
  <c r="H739" i="23" s="1"/>
  <c r="D738" i="23"/>
  <c r="D739" i="23" s="1"/>
  <c r="D735" i="23"/>
  <c r="D736" i="23" s="1"/>
  <c r="I737" i="23"/>
  <c r="F735" i="23"/>
  <c r="G735" i="23"/>
  <c r="H735" i="23"/>
  <c r="F727" i="23"/>
  <c r="G727" i="23"/>
  <c r="H727" i="23"/>
  <c r="F731" i="23"/>
  <c r="G731" i="23"/>
  <c r="H731" i="23"/>
  <c r="M225" i="23" l="1"/>
  <c r="G38" i="28"/>
  <c r="H38" i="28" s="1"/>
  <c r="H59" i="28"/>
  <c r="G60" i="28"/>
  <c r="H109" i="28"/>
  <c r="K215" i="23"/>
  <c r="J214" i="23"/>
  <c r="J235" i="23" s="1"/>
  <c r="G97" i="28"/>
  <c r="H97" i="28" s="1"/>
  <c r="K220" i="23"/>
  <c r="J219" i="23"/>
  <c r="G52" i="28"/>
  <c r="H51" i="28"/>
  <c r="I236" i="23"/>
  <c r="I191" i="23"/>
  <c r="K191" i="23"/>
  <c r="L191" i="23" s="1"/>
  <c r="H192" i="23"/>
  <c r="M190" i="23"/>
  <c r="I738" i="23"/>
  <c r="F739" i="23"/>
  <c r="I739" i="23" s="1"/>
  <c r="N225" i="23" l="1"/>
  <c r="G39" i="28"/>
  <c r="H39" i="28" s="1"/>
  <c r="H110" i="28"/>
  <c r="G110" i="28" s="1"/>
  <c r="L215" i="23"/>
  <c r="K214" i="23"/>
  <c r="G61" i="28"/>
  <c r="H60" i="28"/>
  <c r="G98" i="28"/>
  <c r="H98" i="28" s="1"/>
  <c r="L220" i="23"/>
  <c r="K219" i="23"/>
  <c r="G109" i="28"/>
  <c r="G53" i="28"/>
  <c r="H53" i="28" s="1"/>
  <c r="H52" i="28"/>
  <c r="J236" i="23"/>
  <c r="I192" i="23"/>
  <c r="K192" i="23"/>
  <c r="L192" i="23" s="1"/>
  <c r="H193" i="23"/>
  <c r="M191" i="23"/>
  <c r="K418" i="23"/>
  <c r="R426" i="23"/>
  <c r="Q426" i="23"/>
  <c r="P424" i="23"/>
  <c r="O424" i="23"/>
  <c r="N422" i="23"/>
  <c r="M420" i="23"/>
  <c r="L418" i="23"/>
  <c r="J416" i="23"/>
  <c r="I416" i="23"/>
  <c r="H416" i="23"/>
  <c r="G416" i="23"/>
  <c r="F414" i="23"/>
  <c r="E414" i="23"/>
  <c r="F398" i="23"/>
  <c r="K235" i="23" l="1"/>
  <c r="O225" i="23"/>
  <c r="G40" i="28"/>
  <c r="H40" i="28" s="1"/>
  <c r="G99" i="28"/>
  <c r="H99" i="28" s="1"/>
  <c r="M220" i="23"/>
  <c r="L219" i="23"/>
  <c r="G62" i="28"/>
  <c r="H61" i="28"/>
  <c r="H111" i="28"/>
  <c r="M215" i="23"/>
  <c r="L214" i="23"/>
  <c r="K236" i="23"/>
  <c r="I193" i="23"/>
  <c r="K193" i="23"/>
  <c r="L193" i="23" s="1"/>
  <c r="H194" i="23"/>
  <c r="M192" i="23"/>
  <c r="D418" i="23"/>
  <c r="D420" i="23" s="1"/>
  <c r="D422" i="23" s="1"/>
  <c r="D424" i="23" s="1"/>
  <c r="D426" i="23" s="1"/>
  <c r="E963" i="23"/>
  <c r="F963" i="23"/>
  <c r="G963" i="23"/>
  <c r="H963" i="23"/>
  <c r="E964" i="23"/>
  <c r="F964" i="23"/>
  <c r="G964" i="23"/>
  <c r="H964" i="23"/>
  <c r="E965" i="23"/>
  <c r="F965" i="23"/>
  <c r="G965" i="23"/>
  <c r="H965" i="23"/>
  <c r="E966" i="23"/>
  <c r="F966" i="23"/>
  <c r="G966" i="23"/>
  <c r="H966" i="23"/>
  <c r="D966" i="23"/>
  <c r="D965" i="23"/>
  <c r="D964" i="23"/>
  <c r="D963" i="23"/>
  <c r="D955" i="23"/>
  <c r="D957" i="23"/>
  <c r="E957" i="23"/>
  <c r="F957" i="23"/>
  <c r="G957" i="23"/>
  <c r="H957" i="23"/>
  <c r="E955" i="23"/>
  <c r="F955" i="23"/>
  <c r="G955" i="23"/>
  <c r="H955" i="23"/>
  <c r="E962" i="23"/>
  <c r="F962" i="23"/>
  <c r="G962" i="23"/>
  <c r="H962" i="23"/>
  <c r="D962" i="23"/>
  <c r="L235" i="23" l="1"/>
  <c r="L236" i="23" s="1"/>
  <c r="G41" i="28"/>
  <c r="H41" i="28" s="1"/>
  <c r="D359" i="23"/>
  <c r="G100" i="28"/>
  <c r="H100" i="28" s="1"/>
  <c r="M219" i="23"/>
  <c r="N220" i="23"/>
  <c r="H112" i="28"/>
  <c r="G112" i="28" s="1"/>
  <c r="M214" i="23"/>
  <c r="N215" i="23"/>
  <c r="G111" i="28"/>
  <c r="H62" i="28"/>
  <c r="G63" i="28"/>
  <c r="K194" i="23"/>
  <c r="L194" i="23" s="1"/>
  <c r="I194" i="23"/>
  <c r="H195" i="23"/>
  <c r="M193" i="23"/>
  <c r="D986" i="23"/>
  <c r="D976" i="23"/>
  <c r="H976" i="23"/>
  <c r="E981" i="23"/>
  <c r="F986" i="23"/>
  <c r="H986" i="23"/>
  <c r="D967" i="23"/>
  <c r="D991" i="23" s="1"/>
  <c r="G981" i="23"/>
  <c r="G971" i="23"/>
  <c r="G986" i="23"/>
  <c r="I966" i="23"/>
  <c r="E967" i="23"/>
  <c r="E991" i="23" s="1"/>
  <c r="E971" i="23"/>
  <c r="I963" i="23"/>
  <c r="H981" i="23"/>
  <c r="H971" i="23"/>
  <c r="D981" i="23"/>
  <c r="F981" i="23"/>
  <c r="F971" i="23"/>
  <c r="F967" i="23"/>
  <c r="F991" i="23" s="1"/>
  <c r="I965" i="23"/>
  <c r="G976" i="23"/>
  <c r="I957" i="23"/>
  <c r="F976" i="23"/>
  <c r="E976" i="23"/>
  <c r="E986" i="23"/>
  <c r="D971" i="23"/>
  <c r="I955" i="23"/>
  <c r="H967" i="23"/>
  <c r="H991" i="23" s="1"/>
  <c r="G967" i="23"/>
  <c r="G991" i="23" s="1"/>
  <c r="I964" i="23"/>
  <c r="I962" i="23"/>
  <c r="I847" i="23"/>
  <c r="I848" i="23"/>
  <c r="I849" i="23"/>
  <c r="I850" i="23"/>
  <c r="I851" i="23"/>
  <c r="I852" i="23"/>
  <c r="I929" i="23"/>
  <c r="I930" i="23"/>
  <c r="I931" i="23"/>
  <c r="I932" i="23"/>
  <c r="I933" i="23"/>
  <c r="I934" i="23"/>
  <c r="I935" i="23"/>
  <c r="I901" i="23"/>
  <c r="I900" i="23"/>
  <c r="I928" i="23"/>
  <c r="E846" i="23"/>
  <c r="F846" i="23"/>
  <c r="G846" i="23"/>
  <c r="H846" i="23"/>
  <c r="D846" i="23"/>
  <c r="I862" i="23"/>
  <c r="I861" i="23"/>
  <c r="I860" i="23"/>
  <c r="I859" i="23"/>
  <c r="M235" i="23" l="1"/>
  <c r="M236" i="23" s="1"/>
  <c r="I400" i="23"/>
  <c r="E359" i="23"/>
  <c r="F359" i="23" s="1"/>
  <c r="G359" i="23" s="1"/>
  <c r="H359" i="23" s="1"/>
  <c r="H113" i="28"/>
  <c r="G113" i="28" s="1"/>
  <c r="N214" i="23"/>
  <c r="O215" i="23"/>
  <c r="G101" i="28"/>
  <c r="H101" i="28" s="1"/>
  <c r="N219" i="23"/>
  <c r="O220" i="23"/>
  <c r="G64" i="28"/>
  <c r="H63" i="28"/>
  <c r="D723" i="23"/>
  <c r="D724" i="23" s="1"/>
  <c r="M194" i="23"/>
  <c r="K195" i="23"/>
  <c r="L195" i="23" s="1"/>
  <c r="I195" i="23"/>
  <c r="H196" i="23"/>
  <c r="I991" i="23"/>
  <c r="I971" i="23"/>
  <c r="I967" i="23"/>
  <c r="I986" i="23"/>
  <c r="I981" i="23"/>
  <c r="I976" i="23"/>
  <c r="I927" i="23"/>
  <c r="I1004" i="23"/>
  <c r="E853" i="23"/>
  <c r="F853" i="23"/>
  <c r="G853" i="23"/>
  <c r="H853" i="23"/>
  <c r="E854" i="23"/>
  <c r="F854" i="23"/>
  <c r="G854" i="23"/>
  <c r="H854" i="23"/>
  <c r="E855" i="23"/>
  <c r="F855" i="23"/>
  <c r="G855" i="23"/>
  <c r="H855" i="23"/>
  <c r="I856" i="23"/>
  <c r="I846" i="23"/>
  <c r="H824" i="23"/>
  <c r="G824" i="23"/>
  <c r="F824" i="23"/>
  <c r="N235" i="23" l="1"/>
  <c r="N236" i="23" s="1"/>
  <c r="G65" i="28"/>
  <c r="H65" i="28" s="1"/>
  <c r="H64" i="28"/>
  <c r="G130" i="28"/>
  <c r="G102" i="28"/>
  <c r="D356" i="23"/>
  <c r="H114" i="28"/>
  <c r="D353" i="23"/>
  <c r="O214" i="23"/>
  <c r="M195" i="23"/>
  <c r="K196" i="23"/>
  <c r="L196" i="23" s="1"/>
  <c r="I196" i="23"/>
  <c r="H197" i="23"/>
  <c r="G114" i="28" l="1"/>
  <c r="G125" i="28"/>
  <c r="D823" i="23"/>
  <c r="D733" i="23"/>
  <c r="D364" i="23"/>
  <c r="E353" i="23"/>
  <c r="E884" i="23" s="1"/>
  <c r="D954" i="23"/>
  <c r="G400" i="23"/>
  <c r="D721" i="23"/>
  <c r="E356" i="23"/>
  <c r="H102" i="28"/>
  <c r="G126" i="28"/>
  <c r="F723" i="23"/>
  <c r="F724" i="23" s="1"/>
  <c r="I725" i="23"/>
  <c r="D402" i="23"/>
  <c r="D404" i="23" s="1"/>
  <c r="D406" i="23" s="1"/>
  <c r="D408" i="23" s="1"/>
  <c r="M196" i="23"/>
  <c r="K197" i="23"/>
  <c r="L197" i="23" s="1"/>
  <c r="I197" i="23"/>
  <c r="F736" i="23"/>
  <c r="G736" i="23"/>
  <c r="H736" i="23"/>
  <c r="F732" i="23"/>
  <c r="G732" i="23"/>
  <c r="H732" i="23"/>
  <c r="F728" i="23"/>
  <c r="G728" i="23"/>
  <c r="H728" i="23"/>
  <c r="I722" i="23"/>
  <c r="I726" i="23"/>
  <c r="I729" i="23"/>
  <c r="I730" i="23"/>
  <c r="I734" i="23"/>
  <c r="D731" i="23"/>
  <c r="D732" i="23" s="1"/>
  <c r="D727" i="23"/>
  <c r="D728" i="23" s="1"/>
  <c r="E735" i="23"/>
  <c r="E731" i="23"/>
  <c r="E732" i="23" s="1"/>
  <c r="E727" i="23"/>
  <c r="E728" i="23" s="1"/>
  <c r="E723" i="23"/>
  <c r="E724" i="23" s="1"/>
  <c r="E763" i="23"/>
  <c r="G763" i="23" s="1"/>
  <c r="D763" i="23"/>
  <c r="D764" i="23" s="1"/>
  <c r="E762" i="23"/>
  <c r="G762" i="23" s="1"/>
  <c r="D762" i="23"/>
  <c r="E761" i="23"/>
  <c r="E760" i="23"/>
  <c r="E756" i="23"/>
  <c r="G756" i="23" s="1"/>
  <c r="E755" i="23"/>
  <c r="G755" i="23" s="1"/>
  <c r="D884" i="23"/>
  <c r="D885" i="23"/>
  <c r="E885" i="23"/>
  <c r="F885" i="23"/>
  <c r="G885" i="23"/>
  <c r="H885" i="23"/>
  <c r="E733" i="23" l="1"/>
  <c r="E364" i="23"/>
  <c r="E954" i="23"/>
  <c r="F353" i="23"/>
  <c r="J823" i="23"/>
  <c r="D824" i="23"/>
  <c r="E823" i="23"/>
  <c r="D970" i="23"/>
  <c r="D972" i="23" s="1"/>
  <c r="D980" i="23"/>
  <c r="D982" i="23" s="1"/>
  <c r="E721" i="23"/>
  <c r="F356" i="23"/>
  <c r="G133" i="28"/>
  <c r="K402" i="23"/>
  <c r="D371" i="23"/>
  <c r="M197" i="23"/>
  <c r="D740" i="23"/>
  <c r="F740" i="23"/>
  <c r="I728" i="23"/>
  <c r="I732" i="23"/>
  <c r="E736" i="23"/>
  <c r="I736" i="23" s="1"/>
  <c r="I735" i="23"/>
  <c r="I727" i="23"/>
  <c r="I731" i="23"/>
  <c r="F763" i="23"/>
  <c r="F762" i="23"/>
  <c r="F756" i="23"/>
  <c r="E757" i="23" s="1"/>
  <c r="G757" i="23" s="1"/>
  <c r="F755" i="23"/>
  <c r="E764" i="23" s="1"/>
  <c r="G764" i="23" s="1"/>
  <c r="E886" i="23"/>
  <c r="D886" i="23"/>
  <c r="I885" i="23"/>
  <c r="I133" i="28" l="1"/>
  <c r="D372" i="23"/>
  <c r="D373" i="23" s="1"/>
  <c r="N406" i="23"/>
  <c r="D1055" i="23"/>
  <c r="E820" i="23"/>
  <c r="E821" i="23"/>
  <c r="E822" i="23"/>
  <c r="E819" i="23"/>
  <c r="E980" i="23"/>
  <c r="E982" i="23" s="1"/>
  <c r="E970" i="23"/>
  <c r="E972" i="23" s="1"/>
  <c r="F733" i="23"/>
  <c r="F364" i="23"/>
  <c r="F884" i="23"/>
  <c r="F886" i="23" s="1"/>
  <c r="G353" i="23"/>
  <c r="F954" i="23"/>
  <c r="F721" i="23"/>
  <c r="G356" i="23"/>
  <c r="G723" i="23"/>
  <c r="H723" i="23"/>
  <c r="H724" i="23" s="1"/>
  <c r="H740" i="23" s="1"/>
  <c r="E740" i="23"/>
  <c r="F764" i="23"/>
  <c r="F757" i="23"/>
  <c r="E758" i="23" s="1"/>
  <c r="G758" i="23" s="1"/>
  <c r="G884" i="23" l="1"/>
  <c r="G886" i="23" s="1"/>
  <c r="G733" i="23"/>
  <c r="H353" i="23"/>
  <c r="G954" i="23"/>
  <c r="P408" i="23"/>
  <c r="D374" i="23"/>
  <c r="G364" i="23"/>
  <c r="G721" i="23"/>
  <c r="H356" i="23"/>
  <c r="O408" i="23"/>
  <c r="O232" i="23"/>
  <c r="H120" i="28" s="1"/>
  <c r="G120" i="28" s="1"/>
  <c r="D1056" i="23"/>
  <c r="D1057" i="23" s="1"/>
  <c r="D1059" i="23" s="1"/>
  <c r="D958" i="23"/>
  <c r="D985" i="23" s="1"/>
  <c r="E824" i="23"/>
  <c r="F970" i="23"/>
  <c r="F972" i="23" s="1"/>
  <c r="F980" i="23"/>
  <c r="F982" i="23" s="1"/>
  <c r="G724" i="23"/>
  <c r="I723" i="23"/>
  <c r="F758" i="23"/>
  <c r="E759" i="23" s="1"/>
  <c r="G759" i="23" s="1"/>
  <c r="I1106" i="23"/>
  <c r="K1106" i="23" s="1"/>
  <c r="I1105" i="23"/>
  <c r="J1105" i="23" s="1"/>
  <c r="I1104" i="23"/>
  <c r="K1104" i="23" s="1"/>
  <c r="I1103" i="23"/>
  <c r="K1103" i="23" s="1"/>
  <c r="I1102" i="23"/>
  <c r="K1102" i="23" s="1"/>
  <c r="I1101" i="23"/>
  <c r="I1100" i="23"/>
  <c r="J1100" i="23" s="1"/>
  <c r="I1099" i="23"/>
  <c r="J1099" i="23" s="1"/>
  <c r="I1098" i="23"/>
  <c r="K1098" i="23" s="1"/>
  <c r="I1097" i="23"/>
  <c r="J1097" i="23" s="1"/>
  <c r="I1096" i="23"/>
  <c r="K1096" i="23" s="1"/>
  <c r="I1095" i="23"/>
  <c r="K1095" i="23" s="1"/>
  <c r="I1094" i="23"/>
  <c r="K1094" i="23" s="1"/>
  <c r="I1093" i="23"/>
  <c r="D1063" i="23"/>
  <c r="H1054" i="23"/>
  <c r="G1054" i="23"/>
  <c r="F1054" i="23"/>
  <c r="E1054" i="23"/>
  <c r="D1054" i="23"/>
  <c r="H1053" i="23"/>
  <c r="G1053" i="23"/>
  <c r="F1053" i="23"/>
  <c r="E1053" i="23"/>
  <c r="H1052" i="23"/>
  <c r="G1052" i="23"/>
  <c r="F1052" i="23"/>
  <c r="E1052" i="23"/>
  <c r="D1052" i="23"/>
  <c r="H1051" i="23"/>
  <c r="G1051" i="23"/>
  <c r="F1051" i="23"/>
  <c r="E1051" i="23"/>
  <c r="D1051" i="23"/>
  <c r="H1050" i="23"/>
  <c r="G1050" i="23"/>
  <c r="F1050" i="23"/>
  <c r="E1050" i="23"/>
  <c r="D1050" i="23"/>
  <c r="H1049" i="23"/>
  <c r="G1049" i="23"/>
  <c r="F1049" i="23"/>
  <c r="E1049" i="23"/>
  <c r="D1049" i="23"/>
  <c r="D855" i="23"/>
  <c r="I855" i="23" s="1"/>
  <c r="D854" i="23"/>
  <c r="I854" i="23" s="1"/>
  <c r="D853" i="23"/>
  <c r="I853" i="23" s="1"/>
  <c r="H689" i="23"/>
  <c r="G689" i="23"/>
  <c r="F689" i="23"/>
  <c r="E689" i="23"/>
  <c r="D689" i="23"/>
  <c r="G688" i="23"/>
  <c r="F688" i="23"/>
  <c r="E688" i="23"/>
  <c r="D688" i="23"/>
  <c r="H665" i="23"/>
  <c r="G665" i="23"/>
  <c r="F665" i="23"/>
  <c r="E665" i="23"/>
  <c r="D665" i="23"/>
  <c r="H640" i="23"/>
  <c r="G640" i="23"/>
  <c r="F640" i="23"/>
  <c r="E640" i="23"/>
  <c r="D640" i="23"/>
  <c r="H617" i="23"/>
  <c r="G617" i="23"/>
  <c r="F617" i="23"/>
  <c r="E617" i="23"/>
  <c r="D617" i="23"/>
  <c r="H588" i="23"/>
  <c r="G588" i="23"/>
  <c r="F588" i="23"/>
  <c r="E588" i="23"/>
  <c r="D588" i="23"/>
  <c r="H555" i="23"/>
  <c r="G555" i="23"/>
  <c r="F555" i="23"/>
  <c r="E555" i="23"/>
  <c r="D555" i="23"/>
  <c r="H779" i="23"/>
  <c r="G779" i="23"/>
  <c r="F779" i="23"/>
  <c r="E779" i="23"/>
  <c r="D779" i="23"/>
  <c r="H875" i="23"/>
  <c r="G875" i="23"/>
  <c r="F875" i="23"/>
  <c r="E875" i="23"/>
  <c r="D875" i="23"/>
  <c r="H874" i="23"/>
  <c r="G874" i="23"/>
  <c r="F874" i="23"/>
  <c r="E874" i="23"/>
  <c r="D874" i="23"/>
  <c r="H527" i="23"/>
  <c r="G527" i="23"/>
  <c r="F527" i="23"/>
  <c r="E527" i="23"/>
  <c r="D527" i="23"/>
  <c r="H501" i="23"/>
  <c r="G501" i="23"/>
  <c r="F501" i="23"/>
  <c r="E501" i="23"/>
  <c r="D501" i="23"/>
  <c r="H496" i="23"/>
  <c r="G496" i="23"/>
  <c r="F496" i="23"/>
  <c r="E496" i="23"/>
  <c r="D496" i="23"/>
  <c r="H491" i="23"/>
  <c r="G491" i="23"/>
  <c r="F491" i="23"/>
  <c r="E491" i="23"/>
  <c r="D491" i="23"/>
  <c r="I381" i="23"/>
  <c r="I380" i="23"/>
  <c r="I379" i="23"/>
  <c r="I378" i="23"/>
  <c r="H370" i="23"/>
  <c r="G370" i="23"/>
  <c r="F370" i="23"/>
  <c r="E370" i="23"/>
  <c r="I369" i="23"/>
  <c r="I368" i="23"/>
  <c r="I367" i="23"/>
  <c r="I366" i="23"/>
  <c r="I365" i="23"/>
  <c r="I363" i="23"/>
  <c r="I362" i="23"/>
  <c r="I361" i="23"/>
  <c r="I360" i="23"/>
  <c r="I359" i="23"/>
  <c r="I358" i="23"/>
  <c r="I357" i="23"/>
  <c r="I356" i="23"/>
  <c r="I355" i="23"/>
  <c r="I354" i="23"/>
  <c r="I348" i="23"/>
  <c r="I347" i="23"/>
  <c r="I346" i="23"/>
  <c r="I345" i="23"/>
  <c r="I344" i="23"/>
  <c r="I343" i="23"/>
  <c r="H342" i="23"/>
  <c r="G342" i="23"/>
  <c r="F342" i="23"/>
  <c r="E342" i="23"/>
  <c r="I341" i="23"/>
  <c r="I340" i="23"/>
  <c r="I339" i="23"/>
  <c r="I338" i="23"/>
  <c r="I337" i="23"/>
  <c r="H336" i="23"/>
  <c r="G336" i="23"/>
  <c r="F336" i="23"/>
  <c r="E336" i="23"/>
  <c r="D336" i="23"/>
  <c r="I335" i="23"/>
  <c r="I334" i="23"/>
  <c r="I333" i="23"/>
  <c r="I332" i="23"/>
  <c r="I330" i="23"/>
  <c r="I329" i="23"/>
  <c r="I328" i="23"/>
  <c r="I327" i="23"/>
  <c r="I326" i="23"/>
  <c r="I325" i="23"/>
  <c r="I319" i="23"/>
  <c r="I318" i="23"/>
  <c r="I317" i="23"/>
  <c r="I316" i="23"/>
  <c r="I315" i="23"/>
  <c r="I314" i="23"/>
  <c r="I312" i="23"/>
  <c r="I311" i="23"/>
  <c r="I310" i="23"/>
  <c r="I309" i="23"/>
  <c r="I308" i="23"/>
  <c r="I307" i="23"/>
  <c r="H306" i="23"/>
  <c r="G306" i="23"/>
  <c r="F306" i="23"/>
  <c r="E306" i="23"/>
  <c r="D306" i="23"/>
  <c r="Q410" i="23" l="1"/>
  <c r="O233" i="23"/>
  <c r="H119" i="28" s="1"/>
  <c r="G119" i="28" s="1"/>
  <c r="D956" i="23"/>
  <c r="D975" i="23" s="1"/>
  <c r="D977" i="23" s="1"/>
  <c r="O1062" i="23"/>
  <c r="L1115" i="23"/>
  <c r="O219" i="23"/>
  <c r="O235" i="23" s="1"/>
  <c r="O236" i="23" s="1"/>
  <c r="D320" i="23" s="1"/>
  <c r="D778" i="23" s="1"/>
  <c r="D780" i="23" s="1"/>
  <c r="E398" i="23"/>
  <c r="H733" i="23"/>
  <c r="I733" i="23" s="1"/>
  <c r="H954" i="23"/>
  <c r="H884" i="23"/>
  <c r="H364" i="23"/>
  <c r="H495" i="23" s="1"/>
  <c r="H497" i="23" s="1"/>
  <c r="H721" i="23"/>
  <c r="I721" i="23" s="1"/>
  <c r="G970" i="23"/>
  <c r="G972" i="23" s="1"/>
  <c r="G980" i="23"/>
  <c r="G982" i="23" s="1"/>
  <c r="I353" i="23"/>
  <c r="H688" i="23"/>
  <c r="H690" i="23" s="1"/>
  <c r="F122" i="28"/>
  <c r="I724" i="23"/>
  <c r="G740" i="23"/>
  <c r="I740" i="23" s="1"/>
  <c r="N1111" i="23"/>
  <c r="D987" i="23"/>
  <c r="F495" i="23"/>
  <c r="F497" i="23" s="1"/>
  <c r="G495" i="23"/>
  <c r="G497" i="23" s="1"/>
  <c r="J1094" i="23"/>
  <c r="F759" i="23"/>
  <c r="D690" i="23"/>
  <c r="I306" i="23"/>
  <c r="I342" i="23"/>
  <c r="I689" i="23"/>
  <c r="E690" i="23"/>
  <c r="K1100" i="23"/>
  <c r="I496" i="23"/>
  <c r="F876" i="23"/>
  <c r="G876" i="23"/>
  <c r="I588" i="23"/>
  <c r="I665" i="23"/>
  <c r="G690" i="23"/>
  <c r="I491" i="23"/>
  <c r="I501" i="23"/>
  <c r="K1105" i="23"/>
  <c r="F371" i="23"/>
  <c r="F1055" i="23" s="1"/>
  <c r="H876" i="23"/>
  <c r="I779" i="23"/>
  <c r="J1102" i="23"/>
  <c r="I527" i="23"/>
  <c r="K1097" i="23"/>
  <c r="I336" i="23"/>
  <c r="I875" i="23"/>
  <c r="E876" i="23"/>
  <c r="K1099" i="23"/>
  <c r="I874" i="23"/>
  <c r="K1093" i="23"/>
  <c r="J1093" i="23"/>
  <c r="K1101" i="23"/>
  <c r="J1101" i="23"/>
  <c r="J1098" i="23"/>
  <c r="J1095" i="23"/>
  <c r="J1103" i="23"/>
  <c r="D495" i="23"/>
  <c r="I370" i="23"/>
  <c r="I640" i="23"/>
  <c r="F690" i="23"/>
  <c r="J1106" i="23"/>
  <c r="D876" i="23"/>
  <c r="I555" i="23"/>
  <c r="I617" i="23"/>
  <c r="G371" i="23"/>
  <c r="G1055" i="23" s="1"/>
  <c r="E495" i="23"/>
  <c r="E497" i="23" s="1"/>
  <c r="J1096" i="23"/>
  <c r="J1104" i="23"/>
  <c r="E371" i="23"/>
  <c r="I688" i="23" l="1"/>
  <c r="I690" i="23" s="1"/>
  <c r="I364" i="23"/>
  <c r="H371" i="23"/>
  <c r="I371" i="23" s="1"/>
  <c r="D313" i="23"/>
  <c r="H886" i="23"/>
  <c r="I884" i="23"/>
  <c r="I886" i="23" s="1"/>
  <c r="I954" i="23"/>
  <c r="H980" i="23"/>
  <c r="H970" i="23"/>
  <c r="H972" i="23" s="1"/>
  <c r="E1055" i="23"/>
  <c r="E372" i="23"/>
  <c r="E1056" i="23" s="1"/>
  <c r="G372" i="23"/>
  <c r="D410" i="23"/>
  <c r="F372" i="23"/>
  <c r="I876" i="23"/>
  <c r="D375" i="23"/>
  <c r="D497" i="23"/>
  <c r="I495" i="23"/>
  <c r="I497" i="23" s="1"/>
  <c r="D554" i="23" l="1"/>
  <c r="D556" i="23" s="1"/>
  <c r="D587" i="23"/>
  <c r="D589" i="23" s="1"/>
  <c r="H1055" i="23"/>
  <c r="H372" i="23"/>
  <c r="H982" i="23"/>
  <c r="I980" i="23"/>
  <c r="I982" i="23" s="1"/>
  <c r="I970" i="23"/>
  <c r="I972" i="23" s="1"/>
  <c r="D331" i="23"/>
  <c r="D324" i="23" s="1"/>
  <c r="D323" i="23" s="1"/>
  <c r="D526" i="23" s="1"/>
  <c r="R410" i="23"/>
  <c r="F958" i="23"/>
  <c r="F985" i="23" s="1"/>
  <c r="F987" i="23" s="1"/>
  <c r="F1056" i="23"/>
  <c r="G958" i="23"/>
  <c r="G985" i="23" s="1"/>
  <c r="G987" i="23" s="1"/>
  <c r="G1056" i="23"/>
  <c r="F373" i="23"/>
  <c r="E958" i="23"/>
  <c r="I372" i="23"/>
  <c r="E373" i="23"/>
  <c r="E374" i="23" s="1"/>
  <c r="G373" i="23"/>
  <c r="D959" i="23"/>
  <c r="D990" i="23" s="1"/>
  <c r="D639" i="23"/>
  <c r="H1056" i="23" l="1"/>
  <c r="H1057" i="23" s="1"/>
  <c r="H1059" i="23" s="1"/>
  <c r="H958" i="23"/>
  <c r="H985" i="23" s="1"/>
  <c r="H987" i="23" s="1"/>
  <c r="H373" i="23"/>
  <c r="L1119" i="23"/>
  <c r="M1119" i="23" s="1"/>
  <c r="S1062" i="23"/>
  <c r="D350" i="23"/>
  <c r="D616" i="23"/>
  <c r="D618" i="23" s="1"/>
  <c r="I373" i="23"/>
  <c r="G374" i="23"/>
  <c r="G956" i="23" s="1"/>
  <c r="G975" i="23" s="1"/>
  <c r="G977" i="23" s="1"/>
  <c r="G639" i="23"/>
  <c r="G641" i="23" s="1"/>
  <c r="G1057" i="23"/>
  <c r="G1059" i="23" s="1"/>
  <c r="E639" i="23"/>
  <c r="E641" i="23" s="1"/>
  <c r="E1057" i="23"/>
  <c r="E1059" i="23" s="1"/>
  <c r="I958" i="23"/>
  <c r="E985" i="23"/>
  <c r="F374" i="23"/>
  <c r="F956" i="23" s="1"/>
  <c r="F975" i="23" s="1"/>
  <c r="F977" i="23" s="1"/>
  <c r="F639" i="23"/>
  <c r="F641" i="23" s="1"/>
  <c r="D992" i="23"/>
  <c r="D528" i="23"/>
  <c r="D641" i="23"/>
  <c r="H374" i="23" l="1"/>
  <c r="H639" i="23"/>
  <c r="H641" i="23" s="1"/>
  <c r="L1116" i="23"/>
  <c r="P1062" i="23"/>
  <c r="L1118" i="23"/>
  <c r="R1062" i="23"/>
  <c r="D490" i="23"/>
  <c r="D492" i="23" s="1"/>
  <c r="L350" i="23"/>
  <c r="L351" i="23" s="1"/>
  <c r="D664" i="23"/>
  <c r="D666" i="23" s="1"/>
  <c r="D500" i="23"/>
  <c r="D502" i="23" s="1"/>
  <c r="E956" i="23"/>
  <c r="I374" i="23"/>
  <c r="E375" i="23"/>
  <c r="E331" i="23" s="1"/>
  <c r="I639" i="23"/>
  <c r="I641" i="23" s="1"/>
  <c r="E987" i="23"/>
  <c r="I985" i="23"/>
  <c r="I987" i="23" s="1"/>
  <c r="F375" i="23"/>
  <c r="F1057" i="23"/>
  <c r="F1059" i="23" s="1"/>
  <c r="D1064" i="23" s="1"/>
  <c r="G375" i="23"/>
  <c r="M1115" i="23"/>
  <c r="N1115" i="23" s="1"/>
  <c r="O1115" i="23" s="1"/>
  <c r="P1115" i="23" s="1"/>
  <c r="H375" i="23" l="1"/>
  <c r="H956" i="23"/>
  <c r="H975" i="23" s="1"/>
  <c r="H977" i="23" s="1"/>
  <c r="L1117" i="23"/>
  <c r="Q1062" i="23"/>
  <c r="F959" i="23"/>
  <c r="F990" i="23" s="1"/>
  <c r="F992" i="23" s="1"/>
  <c r="F331" i="23"/>
  <c r="F324" i="23" s="1"/>
  <c r="F323" i="23" s="1"/>
  <c r="E324" i="23"/>
  <c r="G959" i="23"/>
  <c r="G990" i="23" s="1"/>
  <c r="G992" i="23" s="1"/>
  <c r="G331" i="23"/>
  <c r="G324" i="23" s="1"/>
  <c r="G323" i="23" s="1"/>
  <c r="D1065" i="23"/>
  <c r="M1117" i="23"/>
  <c r="E959" i="23"/>
  <c r="I375" i="23"/>
  <c r="E975" i="23"/>
  <c r="I956" i="23"/>
  <c r="M1116" i="23"/>
  <c r="N1116" i="23" s="1"/>
  <c r="H959" i="23" l="1"/>
  <c r="H990" i="23" s="1"/>
  <c r="H992" i="23" s="1"/>
  <c r="H331" i="23"/>
  <c r="H324" i="23" s="1"/>
  <c r="H323" i="23" s="1"/>
  <c r="I331" i="23"/>
  <c r="E323" i="23"/>
  <c r="I324" i="23"/>
  <c r="F350" i="23"/>
  <c r="F320" i="23" s="1"/>
  <c r="F616" i="23"/>
  <c r="F618" i="23" s="1"/>
  <c r="F526" i="23"/>
  <c r="F528" i="23" s="1"/>
  <c r="G616" i="23"/>
  <c r="G618" i="23" s="1"/>
  <c r="G350" i="23"/>
  <c r="G320" i="23" s="1"/>
  <c r="G526" i="23"/>
  <c r="G528" i="23" s="1"/>
  <c r="E977" i="23"/>
  <c r="I975" i="23"/>
  <c r="I977" i="23" s="1"/>
  <c r="E990" i="23"/>
  <c r="I959" i="23"/>
  <c r="M1118" i="23"/>
  <c r="O1116" i="23"/>
  <c r="P1116" i="23" s="1"/>
  <c r="N1117" i="23"/>
  <c r="H350" i="23" l="1"/>
  <c r="H526" i="23"/>
  <c r="H528" i="23" s="1"/>
  <c r="H616" i="23"/>
  <c r="H618" i="23" s="1"/>
  <c r="G313" i="23"/>
  <c r="G778" i="23"/>
  <c r="G780" i="23" s="1"/>
  <c r="F313" i="23"/>
  <c r="F778" i="23"/>
  <c r="F780" i="23" s="1"/>
  <c r="G490" i="23"/>
  <c r="G492" i="23" s="1"/>
  <c r="G500" i="23"/>
  <c r="G502" i="23" s="1"/>
  <c r="G664" i="23"/>
  <c r="G666" i="23" s="1"/>
  <c r="F664" i="23"/>
  <c r="F666" i="23" s="1"/>
  <c r="F500" i="23"/>
  <c r="F502" i="23" s="1"/>
  <c r="F490" i="23"/>
  <c r="F492" i="23" s="1"/>
  <c r="E350" i="23"/>
  <c r="E320" i="23" s="1"/>
  <c r="E616" i="23"/>
  <c r="I323" i="23"/>
  <c r="E526" i="23"/>
  <c r="E992" i="23"/>
  <c r="I990" i="23"/>
  <c r="I992" i="23" s="1"/>
  <c r="N1118" i="23"/>
  <c r="O1117" i="23"/>
  <c r="P1117" i="23" s="1"/>
  <c r="H320" i="23" l="1"/>
  <c r="H664" i="23"/>
  <c r="H666" i="23" s="1"/>
  <c r="H490" i="23"/>
  <c r="H492" i="23" s="1"/>
  <c r="H500" i="23"/>
  <c r="H502" i="23" s="1"/>
  <c r="E313" i="23"/>
  <c r="I320" i="23"/>
  <c r="E778" i="23"/>
  <c r="N350" i="23"/>
  <c r="N351" i="23" s="1"/>
  <c r="F554" i="23"/>
  <c r="F556" i="23" s="1"/>
  <c r="F587" i="23"/>
  <c r="F589" i="23" s="1"/>
  <c r="O350" i="23"/>
  <c r="O351" i="23" s="1"/>
  <c r="G554" i="23"/>
  <c r="G556" i="23" s="1"/>
  <c r="G587" i="23"/>
  <c r="G589" i="23" s="1"/>
  <c r="E618" i="23"/>
  <c r="I616" i="23"/>
  <c r="I618" i="23" s="1"/>
  <c r="E664" i="23"/>
  <c r="E500" i="23"/>
  <c r="E490" i="23"/>
  <c r="I350" i="23"/>
  <c r="E528" i="23"/>
  <c r="I526" i="23"/>
  <c r="I528" i="23" s="1"/>
  <c r="O1118" i="23"/>
  <c r="P1118" i="23" s="1"/>
  <c r="N1119" i="23"/>
  <c r="H313" i="23" l="1"/>
  <c r="H778" i="23"/>
  <c r="H780" i="23" s="1"/>
  <c r="E780" i="23"/>
  <c r="I778" i="23"/>
  <c r="I780" i="23" s="1"/>
  <c r="M350" i="23"/>
  <c r="M351" i="23" s="1"/>
  <c r="E587" i="23"/>
  <c r="E554" i="23"/>
  <c r="I313" i="23"/>
  <c r="E492" i="23"/>
  <c r="I490" i="23"/>
  <c r="I492" i="23" s="1"/>
  <c r="E666" i="23"/>
  <c r="I664" i="23"/>
  <c r="I666" i="23" s="1"/>
  <c r="E502" i="23"/>
  <c r="I500" i="23"/>
  <c r="I502" i="23" s="1"/>
  <c r="O1119" i="23"/>
  <c r="P1119" i="23" s="1"/>
  <c r="P1113" i="23" s="1"/>
  <c r="D1118" i="23" s="1"/>
  <c r="H554" i="23" l="1"/>
  <c r="H556" i="23" s="1"/>
  <c r="H587" i="23"/>
  <c r="H589" i="23" s="1"/>
  <c r="P350" i="23"/>
  <c r="P351" i="23" s="1"/>
  <c r="E556" i="23"/>
  <c r="I554" i="23"/>
  <c r="I556" i="23" s="1"/>
  <c r="E589" i="23"/>
  <c r="I587" i="23"/>
  <c r="I589" i="23" s="1"/>
</calcChain>
</file>

<file path=xl/sharedStrings.xml><?xml version="1.0" encoding="utf-8"?>
<sst xmlns="http://schemas.openxmlformats.org/spreadsheetml/2006/main" count="1548" uniqueCount="890">
  <si>
    <t>Ratio de endeudamiento</t>
  </si>
  <si>
    <t>Cobertura gastos financieros</t>
  </si>
  <si>
    <t>TIR</t>
  </si>
  <si>
    <t>VAN</t>
  </si>
  <si>
    <t>Riesgo</t>
  </si>
  <si>
    <t>BALANCE</t>
  </si>
  <si>
    <t>PERDIDAS Y GANANCIAS</t>
  </si>
  <si>
    <t>Año X</t>
  </si>
  <si>
    <t>Fondo de maniobra</t>
  </si>
  <si>
    <t>Coste medio por trabajador</t>
  </si>
  <si>
    <t>Productividad del factor trabajo</t>
  </si>
  <si>
    <t>Rentabilidad económica</t>
  </si>
  <si>
    <t>Rentabilidad financiera</t>
  </si>
  <si>
    <t>Ratio de liquidez inmediata</t>
  </si>
  <si>
    <t>Solvencia estricta</t>
  </si>
  <si>
    <t>A</t>
  </si>
  <si>
    <t>a1</t>
  </si>
  <si>
    <t>a2</t>
  </si>
  <si>
    <t>a3</t>
  </si>
  <si>
    <t>a4</t>
  </si>
  <si>
    <t>a5</t>
  </si>
  <si>
    <t>b1</t>
  </si>
  <si>
    <t>b2</t>
  </si>
  <si>
    <t>b3</t>
  </si>
  <si>
    <t>b4</t>
  </si>
  <si>
    <t>b5</t>
  </si>
  <si>
    <t>c1</t>
  </si>
  <si>
    <t>c2</t>
  </si>
  <si>
    <t>c3</t>
  </si>
  <si>
    <t>c4</t>
  </si>
  <si>
    <t>c5</t>
  </si>
  <si>
    <t>d1</t>
  </si>
  <si>
    <t>d2</t>
  </si>
  <si>
    <t>d3</t>
  </si>
  <si>
    <t>d4</t>
  </si>
  <si>
    <t>d5</t>
  </si>
  <si>
    <t>e1</t>
  </si>
  <si>
    <t>e2</t>
  </si>
  <si>
    <t>e3</t>
  </si>
  <si>
    <t>e4</t>
  </si>
  <si>
    <t>e5</t>
  </si>
  <si>
    <t>Medio</t>
  </si>
  <si>
    <t>Alto</t>
  </si>
  <si>
    <t>Muy Alto</t>
  </si>
  <si>
    <t>Bajo</t>
  </si>
  <si>
    <t>D</t>
  </si>
  <si>
    <t>B</t>
  </si>
  <si>
    <t>C</t>
  </si>
  <si>
    <t>E</t>
  </si>
  <si>
    <t>Impuesto de sociedades</t>
  </si>
  <si>
    <t>Tasa para el cálculo del VAN</t>
  </si>
  <si>
    <t>Gastos financieros sobre ventas</t>
  </si>
  <si>
    <t>Gastos de personal</t>
  </si>
  <si>
    <t>Importe neto de la cifra de negocios</t>
  </si>
  <si>
    <t>Resultado del ejercicio</t>
  </si>
  <si>
    <t>Amortización del inmovilizado</t>
  </si>
  <si>
    <t>Aprovisionamientos</t>
  </si>
  <si>
    <t>Gastos financieros</t>
  </si>
  <si>
    <t>Número de empleados</t>
  </si>
  <si>
    <t>4.</t>
  </si>
  <si>
    <t>5.</t>
  </si>
  <si>
    <t>6.</t>
  </si>
  <si>
    <t>7.</t>
  </si>
  <si>
    <t>8.</t>
  </si>
  <si>
    <t>Rentabilidad esperada y flujos de caja</t>
  </si>
  <si>
    <t>Riesgos</t>
  </si>
  <si>
    <t>Suma</t>
  </si>
  <si>
    <t>* Gastos de personal dividido número de empleados</t>
  </si>
  <si>
    <t>* Ventas dividido número de empleados</t>
  </si>
  <si>
    <t>* Efectivo dividido pasivo corriente</t>
  </si>
  <si>
    <t>OTRA INFORMACIÓN</t>
  </si>
  <si>
    <t>* Pasivo Corriente y no Corriente dividido Patrimonio Neto</t>
  </si>
  <si>
    <t>* Activo Corriente dividido Pasivo corriente</t>
  </si>
  <si>
    <t>* Gastos Financieros dividido Resultado del Ejercicio</t>
  </si>
  <si>
    <t>* Gastos Financieros dividido Ventas</t>
  </si>
  <si>
    <t>Rotación</t>
  </si>
  <si>
    <t>1–Insignificante</t>
  </si>
  <si>
    <t>Muy alto</t>
  </si>
  <si>
    <t>3–Moderado</t>
  </si>
  <si>
    <t>4–Grande</t>
  </si>
  <si>
    <t>2–Pequeño</t>
  </si>
  <si>
    <t>A- Casi seguro que sucede</t>
  </si>
  <si>
    <t>D- Es raro que suceda</t>
  </si>
  <si>
    <t>5–Catastrofe</t>
  </si>
  <si>
    <t>Probabilidad</t>
  </si>
  <si>
    <t>Impacto</t>
  </si>
  <si>
    <t>E- Sería excepcional</t>
  </si>
  <si>
    <t>B- Muy probable</t>
  </si>
  <si>
    <t>C- Es posible</t>
  </si>
  <si>
    <t>No lo se</t>
  </si>
  <si>
    <t>NN</t>
  </si>
  <si>
    <t>Desconocido</t>
  </si>
  <si>
    <t>AN</t>
  </si>
  <si>
    <t>BN</t>
  </si>
  <si>
    <t>CN</t>
  </si>
  <si>
    <t>DN</t>
  </si>
  <si>
    <t>EN</t>
  </si>
  <si>
    <t>N1</t>
  </si>
  <si>
    <t>N2</t>
  </si>
  <si>
    <t>N3</t>
  </si>
  <si>
    <t>N4</t>
  </si>
  <si>
    <t>N5</t>
  </si>
  <si>
    <t>.</t>
  </si>
  <si>
    <t>Año X+1</t>
  </si>
  <si>
    <t>Año X+2</t>
  </si>
  <si>
    <t>Año X+3</t>
  </si>
  <si>
    <t>Año X+4</t>
  </si>
  <si>
    <t>Otros gastos</t>
  </si>
  <si>
    <t>Tendencia</t>
  </si>
  <si>
    <t>Beneficio después de impuestos</t>
  </si>
  <si>
    <t>Resumen</t>
  </si>
  <si>
    <t>r</t>
  </si>
  <si>
    <t>CFr</t>
  </si>
  <si>
    <t>Vo,r</t>
  </si>
  <si>
    <t>Diferencia</t>
  </si>
  <si>
    <t>Días</t>
  </si>
  <si>
    <t>N</t>
  </si>
  <si>
    <t>Número de empleados de inserción</t>
  </si>
  <si>
    <t>Sector</t>
  </si>
  <si>
    <t>* Activo Total dividido Pasivo Corriente y no Corriente</t>
  </si>
  <si>
    <t>Tipo de riesgo</t>
  </si>
  <si>
    <t>Dependencia excesiva de un cliente</t>
  </si>
  <si>
    <t>Clientes dejen de pagar</t>
  </si>
  <si>
    <t>Dependencia excesiva de proveedores</t>
  </si>
  <si>
    <t>Subida de tipos de interés</t>
  </si>
  <si>
    <t>Cambio político en AA.PP.</t>
  </si>
  <si>
    <t>Abandono de gerentes</t>
  </si>
  <si>
    <t>Abandono de empleados</t>
  </si>
  <si>
    <t>Nuevos competidores saturen el mercado</t>
  </si>
  <si>
    <t>Riesgo de desabastecerse de materiales</t>
  </si>
  <si>
    <t>Cambios en legislación puedan perjudicar</t>
  </si>
  <si>
    <t>Grupos de presión que pongan dificultades</t>
  </si>
  <si>
    <t>Ratio de garantía</t>
  </si>
  <si>
    <t>Porcentaje con estudios secundarios</t>
  </si>
  <si>
    <t>Porcentaje con estudios primarios</t>
  </si>
  <si>
    <t>Porcentaje sin estudios</t>
  </si>
  <si>
    <t>Edad promedio de la plantilla</t>
  </si>
  <si>
    <t>Escenario macroeconómico</t>
  </si>
  <si>
    <t>* Número de años en los que se recupera la inversión</t>
  </si>
  <si>
    <t>I Activos no corrientes mantenidos para venta</t>
  </si>
  <si>
    <t>II Existencias</t>
  </si>
  <si>
    <t>III Deudores comerciales y otras cuentas a cobrar</t>
  </si>
  <si>
    <t>V Inversiones financieras corto plazo</t>
  </si>
  <si>
    <t>VI Periodificaciones a corto plazo</t>
  </si>
  <si>
    <t>VII Efectivo y otros activos líquidos equivalentes</t>
  </si>
  <si>
    <t>I Inmovilizado intangible</t>
  </si>
  <si>
    <t>II Inmovilizado material</t>
  </si>
  <si>
    <t>III Inversiones inmobiliarias</t>
  </si>
  <si>
    <t>IV Inversiones en empresas del grupo largo plazo</t>
  </si>
  <si>
    <t>IV Inversiones en empresas del grupo corto plazo</t>
  </si>
  <si>
    <t>V Inversiones financieras largo plazo</t>
  </si>
  <si>
    <t>VI Activos por impuesto diferido</t>
  </si>
  <si>
    <t>*Codigo CNAE Clasificación Nacional Actividades Económicas http://www.ine.es/daco/daco42/clasificaciones/cnae09/estructura.pdf</t>
  </si>
  <si>
    <t>A1) Fondos Propios</t>
  </si>
  <si>
    <t>I Capital</t>
  </si>
  <si>
    <t>II Prima de Emisión</t>
  </si>
  <si>
    <t>III Reservas</t>
  </si>
  <si>
    <t>IV Acciones y participaciones en patrimonio propias</t>
  </si>
  <si>
    <t>V Resultados de ejercicios anteriores</t>
  </si>
  <si>
    <t>VI Otras aportaciones de socios</t>
  </si>
  <si>
    <t>VII Resultado del ejercicio</t>
  </si>
  <si>
    <t>VIII Dividendo a cuenta</t>
  </si>
  <si>
    <t>IX Otros instrumentos de patrimonio neto</t>
  </si>
  <si>
    <t>A2) Ajustes por cambios de valor</t>
  </si>
  <si>
    <t>I Provisiones a largo plazo</t>
  </si>
  <si>
    <t>II Deudas a largo plazo</t>
  </si>
  <si>
    <t>III Deudas con empresas del grupo a largo plazo</t>
  </si>
  <si>
    <t>IV Pasivos por impuesto diferido</t>
  </si>
  <si>
    <t>V Periodificaciones a largo plazo</t>
  </si>
  <si>
    <t>I Pasivos vinculados con activos no corrientes</t>
  </si>
  <si>
    <t>II Provisiones a corto plazo</t>
  </si>
  <si>
    <t>III Deudas a corto plazo</t>
  </si>
  <si>
    <t>IV Deudas  con empresas del grupo a corto plazo</t>
  </si>
  <si>
    <t>V Acreedores comerciales a pagar</t>
  </si>
  <si>
    <t>1 Importe neto de la cifra de negocios</t>
  </si>
  <si>
    <t>2 Variación de existencias</t>
  </si>
  <si>
    <t>3 Trabajos realizados por la empresa para su activo</t>
  </si>
  <si>
    <t>4 Aprovisionamientos</t>
  </si>
  <si>
    <t>5 Otros ingresos explotación</t>
  </si>
  <si>
    <t>6 Gastos de personal</t>
  </si>
  <si>
    <t>7 Otros gastos de explotación</t>
  </si>
  <si>
    <t>8 Amortización del inmovilizado</t>
  </si>
  <si>
    <t>13 Gastos financieros</t>
  </si>
  <si>
    <t>9 Imputación de subvenciones inmovilizado</t>
  </si>
  <si>
    <t>10 Excesos de provisiones</t>
  </si>
  <si>
    <t>11 Deterioro y resultado enajenaciones inmovilizado</t>
  </si>
  <si>
    <t>A) RESULTADO DE EXPLOTACIÓN</t>
  </si>
  <si>
    <t>12 Ingresos financieros</t>
  </si>
  <si>
    <t>14 Variación valor razonable instrumentos financieros</t>
  </si>
  <si>
    <t>15 Diferencias de cambio</t>
  </si>
  <si>
    <t>B) RESULTADO FINANCIERO</t>
  </si>
  <si>
    <t>C) RESULTADO ANTES DE IMPUESTOS</t>
  </si>
  <si>
    <t>17 Impuesto sobre beneficios</t>
  </si>
  <si>
    <t>D) RESULTADO DEL EJERCICIO</t>
  </si>
  <si>
    <t>SIN DATOS</t>
  </si>
  <si>
    <t>Normal</t>
  </si>
  <si>
    <t>* Con estudios secundarios</t>
  </si>
  <si>
    <t>* Con estudios primarios</t>
  </si>
  <si>
    <t>* Sin estudios</t>
  </si>
  <si>
    <t>* Edad de la plantilla</t>
  </si>
  <si>
    <t>* Salario más alto entre salario más bajo</t>
  </si>
  <si>
    <t>Dispersión salarial</t>
  </si>
  <si>
    <t>* Becarios dividido número empleados</t>
  </si>
  <si>
    <t>Trabajadores eventuales</t>
  </si>
  <si>
    <t>Becarios y personal en prácticas</t>
  </si>
  <si>
    <t>Una tecnología nueva haga obsoleto el producto</t>
  </si>
  <si>
    <t>La empresa deje de ser competitiva en precio</t>
  </si>
  <si>
    <t>Código CNAE Sector</t>
  </si>
  <si>
    <t>Personal integración</t>
  </si>
  <si>
    <t>* Trabajadores eventuales dividido número empleados. Dato sector de Encuesta de Población Activa (EPA)</t>
  </si>
  <si>
    <t>En declive</t>
  </si>
  <si>
    <t>Emergente</t>
  </si>
  <si>
    <t>Maduro</t>
  </si>
  <si>
    <t>* Escenario emergente, maduro o en declive</t>
  </si>
  <si>
    <t>* Economía en expansión, normal, crisis</t>
  </si>
  <si>
    <t>Expansión</t>
  </si>
  <si>
    <t>Crisis</t>
  </si>
  <si>
    <t>Escenario previsto para el sector</t>
  </si>
  <si>
    <t>Declive</t>
  </si>
  <si>
    <t>Positivo</t>
  </si>
  <si>
    <t>Muy Positivo</t>
  </si>
  <si>
    <t>Muy negativo</t>
  </si>
  <si>
    <t>Neutro</t>
  </si>
  <si>
    <t>Negativo</t>
  </si>
  <si>
    <t>Escenario</t>
  </si>
  <si>
    <t>1-Expansión</t>
  </si>
  <si>
    <t>2-Normal</t>
  </si>
  <si>
    <t>3-Crisis</t>
  </si>
  <si>
    <t>A-Emergente</t>
  </si>
  <si>
    <t>B-Maduro</t>
  </si>
  <si>
    <t>C-En declive</t>
  </si>
  <si>
    <t>1A</t>
  </si>
  <si>
    <t>1B</t>
  </si>
  <si>
    <t>1C</t>
  </si>
  <si>
    <t>2A</t>
  </si>
  <si>
    <t>2B</t>
  </si>
  <si>
    <t>2C</t>
  </si>
  <si>
    <t>3A</t>
  </si>
  <si>
    <t>3B</t>
  </si>
  <si>
    <t>3C</t>
  </si>
  <si>
    <t>Crece más</t>
  </si>
  <si>
    <t>Igual</t>
  </si>
  <si>
    <t>Crece menos</t>
  </si>
  <si>
    <t>* Dato obtenido de la combinación del escenario macroeconómico y del sector</t>
  </si>
  <si>
    <t>Fácil venta</t>
  </si>
  <si>
    <t>Complicada</t>
  </si>
  <si>
    <t>* Empleados inserción dividido número empleados</t>
  </si>
  <si>
    <t>A3) Subvenciones y donaciones recibidas</t>
  </si>
  <si>
    <t>A) ACTIVO NO CORRIENTE</t>
  </si>
  <si>
    <t>B) ACTIVO CORRIENTE</t>
  </si>
  <si>
    <t>A) PATRIMONIO NETO</t>
  </si>
  <si>
    <t>B) PASIVO NO CORRIENTE</t>
  </si>
  <si>
    <t>C) PASIVO CORRIENTE</t>
  </si>
  <si>
    <t>16 Deterioro y resultado enajenaciones instr. financ.</t>
  </si>
  <si>
    <t>SA</t>
  </si>
  <si>
    <t>SB</t>
  </si>
  <si>
    <t>SC</t>
  </si>
  <si>
    <t>1S</t>
  </si>
  <si>
    <t>2S</t>
  </si>
  <si>
    <t>3S</t>
  </si>
  <si>
    <t>SS</t>
  </si>
  <si>
    <t>+</t>
  </si>
  <si>
    <t xml:space="preserve"> =</t>
  </si>
  <si>
    <t>Fuga de cerebros</t>
  </si>
  <si>
    <t>Crecimiento previsto de la empresa respecto a sector</t>
  </si>
  <si>
    <t>* Crecimiento o decrecimiento previsto de la cuota de mercado</t>
  </si>
  <si>
    <t>Margen</t>
  </si>
  <si>
    <t>* Ventas dividido activo total</t>
  </si>
  <si>
    <t>Gráfico</t>
  </si>
  <si>
    <t>Valores monetarios en miles de Euros</t>
  </si>
  <si>
    <t>Concepto</t>
  </si>
  <si>
    <t>Número de Empresas</t>
  </si>
  <si>
    <t>Cuenta de Resultados</t>
  </si>
  <si>
    <t>1. VALOR DE LA PRODUCCIÓN (incluidas subvenciones)</t>
  </si>
  <si>
    <t xml:space="preserve">      1. Importe neto de la cifra de negocios</t>
  </si>
  <si>
    <t xml:space="preserve">            CIFRA DE NEGOCIOS POR PAÍSES DE DESTINO</t>
  </si>
  <si>
    <t xml:space="preserve">            Importe neto de la cifra de negocios en:</t>
  </si>
  <si>
    <t xml:space="preserve">                  1. España</t>
  </si>
  <si>
    <t xml:space="preserve">                  2. Resto del mundo</t>
  </si>
  <si>
    <t xml:space="preserve">                        1. Otros países de la UE</t>
  </si>
  <si>
    <t xml:space="preserve">                        2. Terceros países</t>
  </si>
  <si>
    <t xml:space="preserve">            CIFRA DE NEGOCIOS POR RELACIÓN INTERSOCIETARIA (solo cuestionario normal)</t>
  </si>
  <si>
    <t xml:space="preserve">            Importe neto de la cifra de negocios frente a:</t>
  </si>
  <si>
    <t xml:space="preserve">                  1. Empresas del grupo y asociadas</t>
  </si>
  <si>
    <t xml:space="preserve">                  2. Terceros externos al perímetro de consolidación</t>
  </si>
  <si>
    <t xml:space="preserve">      2. ( - ) Consumo de mercaderías</t>
  </si>
  <si>
    <t xml:space="preserve">      3. Variación de existencias de productos terminados y en curso</t>
  </si>
  <si>
    <t xml:space="preserve">      4. Otros ingresos de explotación y subvenciones</t>
  </si>
  <si>
    <t xml:space="preserve">            1. Trabajos realizados por la empresa para su inmovilizado</t>
  </si>
  <si>
    <t xml:space="preserve">            2. Subvenciones a la explotación</t>
  </si>
  <si>
    <t xml:space="preserve">            3. Resto de ingresos de la explotación</t>
  </si>
  <si>
    <t>2. CONSUMOS INTERMEDIOS (incluidos tributos)</t>
  </si>
  <si>
    <t xml:space="preserve">      1. Compras netas y trabajos realizados por otras empresas</t>
  </si>
  <si>
    <t xml:space="preserve">            COMPRAS NETAS POR PAÍSES DE PROCEDENCIA</t>
  </si>
  <si>
    <t xml:space="preserve">            Compras netas en:</t>
  </si>
  <si>
    <t xml:space="preserve">            COMPRAS NETAS POR RELACIÓN INTERSOCIETARIA (solo cuestionario normal)</t>
  </si>
  <si>
    <t xml:space="preserve">            Compras netas y trabajos realizados por otras empresas:</t>
  </si>
  <si>
    <t xml:space="preserve">      2. ( - ) Variación de existencias de mercaderías y primeras materias</t>
  </si>
  <si>
    <t xml:space="preserve">      3. ( - ) Consumo de mercaderías</t>
  </si>
  <si>
    <t xml:space="preserve">      4. Otros gastos de explotación</t>
  </si>
  <si>
    <t>S.1. VALOR AÑADIDO BRUTO AL COSTE DE LOS FACTORES</t>
  </si>
  <si>
    <t>3. GASTOS DE PERSONAL</t>
  </si>
  <si>
    <t>S.2. RESULTADO ECONÓMICO BRUTO DE LA EXPLOTACIÓN</t>
  </si>
  <si>
    <t>4. INGRESOS FINANCIEROS NETOS</t>
  </si>
  <si>
    <t xml:space="preserve">      1. Ingresos financieros</t>
  </si>
  <si>
    <t xml:space="preserve">            1. Dividendos</t>
  </si>
  <si>
    <t xml:space="preserve">            2. De valores negociables y otros instrumentos financieros</t>
  </si>
  <si>
    <t xml:space="preserve">            3. Otros ingresos financieros</t>
  </si>
  <si>
    <t xml:space="preserve">            4. Sin clasificar (cuestionario reducido)</t>
  </si>
  <si>
    <t xml:space="preserve">      2. Gastos financieros</t>
  </si>
  <si>
    <t xml:space="preserve">            1. Intereses por financiación recibida y gastos asimilados</t>
  </si>
  <si>
    <t xml:space="preserve">            2. Otros gastos financieros</t>
  </si>
  <si>
    <t>5. AMORTIZACIONES NETAS, DETERIORO Y PROVISIONES DE EXPLOTACIÓN</t>
  </si>
  <si>
    <t xml:space="preserve">      1. Amortizaciones netas</t>
  </si>
  <si>
    <t xml:space="preserve">      2. Deterioro y provisiones de explotación</t>
  </si>
  <si>
    <t>S.3. RESULTADO ORDINARIO NETO</t>
  </si>
  <si>
    <t>6. RESULTADOS POR ENAJENACIONES Y DETERIORO</t>
  </si>
  <si>
    <t xml:space="preserve">      1. Resultados por enajenaciones y pérdidas no recuperables</t>
  </si>
  <si>
    <t xml:space="preserve">            1. De inmovilizado material e inmaterial</t>
  </si>
  <si>
    <t xml:space="preserve">            2. De instrumentos financieros</t>
  </si>
  <si>
    <t xml:space="preserve">            3. Sin clasificar (cuestionario reducido)</t>
  </si>
  <si>
    <t xml:space="preserve">      2. Correciones valorativas por deterioro</t>
  </si>
  <si>
    <t>7. VARIACIONES DEL VALOR RAZONABLE Y RESTO DE RESULTADOS</t>
  </si>
  <si>
    <t xml:space="preserve">      1. Variaciones del valor razonable de instrumentos financieros</t>
  </si>
  <si>
    <t xml:space="preserve">      2. Exceso de provisiones</t>
  </si>
  <si>
    <t xml:space="preserve">      3. Diferencias de cambio</t>
  </si>
  <si>
    <t xml:space="preserve">      4. Indemnizaciones</t>
  </si>
  <si>
    <t xml:space="preserve">      5. Resto de resultados atípicos</t>
  </si>
  <si>
    <t>8. IMPUESTO SOBRE LOS BENEFICIOS</t>
  </si>
  <si>
    <t>S.4. RESULTADO DEL EJERCICIO</t>
  </si>
  <si>
    <t>9. Propuesta de distribución de dividendos</t>
  </si>
  <si>
    <t>10. Beneficios no distribuidos</t>
  </si>
  <si>
    <t>PRO MEMORIA:</t>
  </si>
  <si>
    <t>S.2*. RESULTADO ECONÓMICO NETO DE LA EXPLOTACIÓN</t>
  </si>
  <si>
    <t>S.4*. RESULTADO ANTES DE IMPUESTOS</t>
  </si>
  <si>
    <t>Balance</t>
  </si>
  <si>
    <t>I. ACTIVO NO CORRIENTE</t>
  </si>
  <si>
    <t xml:space="preserve">      1. Inmovilizado intangible</t>
  </si>
  <si>
    <t xml:space="preserve">      2. Inmovilizado material e inversiones inmobiliarias</t>
  </si>
  <si>
    <t xml:space="preserve">            1. Inmovilizado material</t>
  </si>
  <si>
    <t xml:space="preserve">                  1. Inmovilizado material bruto</t>
  </si>
  <si>
    <t xml:space="preserve">                  2. ( - ) Amortizaciones y deterioro de valor</t>
  </si>
  <si>
    <t xml:space="preserve">            2. Inversiones inmobiliarias</t>
  </si>
  <si>
    <t xml:space="preserve">                  1. Inversiones inmobiliarias brutas</t>
  </si>
  <si>
    <t xml:space="preserve">      3. Inversiones financieras a largo plazo</t>
  </si>
  <si>
    <t xml:space="preserve">            1. En empresas del grupo y asociadas</t>
  </si>
  <si>
    <t xml:space="preserve">            2. Resto de inversiones financieras a largo plazo</t>
  </si>
  <si>
    <t xml:space="preserve">            Inversiones financieras a largo plazo (Bases 1983 a 1990)</t>
  </si>
  <si>
    <t>II. ACTIVO CORRIENTE</t>
  </si>
  <si>
    <t xml:space="preserve">      1. Activos no corrientes,  mantenidos para la venta</t>
  </si>
  <si>
    <t xml:space="preserve">      2. Existencias</t>
  </si>
  <si>
    <t xml:space="preserve">      3. Deudores Comerciales y otras cuentas a cobrar</t>
  </si>
  <si>
    <t xml:space="preserve">            1. Clientes</t>
  </si>
  <si>
    <t xml:space="preserve">            2. Otras cuentas a cobrar</t>
  </si>
  <si>
    <t xml:space="preserve">      4. Inversiones financieras a corto plazo</t>
  </si>
  <si>
    <t xml:space="preserve">            2. Resto de inversiones financieras a corto plazo</t>
  </si>
  <si>
    <t xml:space="preserve">            Inversiones financieras a corto plazo (Bases 1983 a 1990)</t>
  </si>
  <si>
    <t xml:space="preserve">      5. Efectivo y otros activos líquidos equivalentes</t>
  </si>
  <si>
    <t xml:space="preserve">      6. Ajustes por periodificación</t>
  </si>
  <si>
    <t>ACTIVO (I+II) = PASIVO (III a VI)</t>
  </si>
  <si>
    <t>III. PATRIMONIO NETO</t>
  </si>
  <si>
    <t xml:space="preserve">      1. Fondos propios</t>
  </si>
  <si>
    <t xml:space="preserve">            1. Capital desembolsado neto</t>
  </si>
  <si>
    <t xml:space="preserve">            2. Reservas y prima de emisión</t>
  </si>
  <si>
    <t xml:space="preserve">                  1. Beneficios no distribuidos</t>
  </si>
  <si>
    <t xml:space="preserve">                  2. Prima de emisión</t>
  </si>
  <si>
    <t xml:space="preserve">                  3. Resto de reservas y otros fondos</t>
  </si>
  <si>
    <t xml:space="preserve">            3. Otros instrumentos de patrimonio neto</t>
  </si>
  <si>
    <t xml:space="preserve">      2. Ajustes por cambios de valor</t>
  </si>
  <si>
    <t xml:space="preserve">      3. Subvenciones, donaciones y legados recibidos</t>
  </si>
  <si>
    <t>IV. PASIVO NO CORRIENTE</t>
  </si>
  <si>
    <t xml:space="preserve">      1. Deuda con características especiales</t>
  </si>
  <si>
    <t xml:space="preserve">      2. Recursos ajenos a largo plazo</t>
  </si>
  <si>
    <t xml:space="preserve">            1. Financiación de entidades de crédito a largo plazo</t>
  </si>
  <si>
    <t xml:space="preserve">            2. Resto de financiación ajena a largo plazo</t>
  </si>
  <si>
    <t xml:space="preserve">                  1. Obligaciones y otros valores negociables</t>
  </si>
  <si>
    <t xml:space="preserve">                  2. Otros recursos ajenos a largo plazo</t>
  </si>
  <si>
    <t xml:space="preserve">                  3. Sin clasificar (cuestionario reducido)</t>
  </si>
  <si>
    <t>V. PASIVO CORRIENTE</t>
  </si>
  <si>
    <t xml:space="preserve">      1. Pasivos vinculados con activos no corrientes mantenidos para la venta</t>
  </si>
  <si>
    <t xml:space="preserve">      2. Financiación a corto plazo con coste</t>
  </si>
  <si>
    <t xml:space="preserve">            1. Financiación de entidades de crédito a corto plazo</t>
  </si>
  <si>
    <t xml:space="preserve">            2. Resto de financiación ajena a corto plazo con coste</t>
  </si>
  <si>
    <t xml:space="preserve">                  2. Otra financiación a corto plazo con coste</t>
  </si>
  <si>
    <t xml:space="preserve">      3. Financiación a corto plazo sin coste</t>
  </si>
  <si>
    <t xml:space="preserve">            1. Proveedores</t>
  </si>
  <si>
    <t xml:space="preserve">            2. Otros acreedores sin coste</t>
  </si>
  <si>
    <t xml:space="preserve">                  1. Otros acreedores comerciales</t>
  </si>
  <si>
    <t xml:space="preserve">                  2. Otros acreedores no comerciales</t>
  </si>
  <si>
    <t xml:space="preserve">            3. Ajustes por periodificación</t>
  </si>
  <si>
    <t>VI. PROVISIONES</t>
  </si>
  <si>
    <t>PASIVO (III a VI) = ACTIVO(I+II)</t>
  </si>
  <si>
    <t>Estado de Equilibrio Financiero</t>
  </si>
  <si>
    <t>A. ACTIVO INMOVILIZADO (precios corrientes)</t>
  </si>
  <si>
    <t>B. ACTIVO CORRIENTE NETO</t>
  </si>
  <si>
    <t xml:space="preserve">            a) Por componentes</t>
  </si>
  <si>
    <t xml:space="preserve">            1. Activo corriente</t>
  </si>
  <si>
    <t xml:space="preserve">            2. ( - ) Financiación a corto plazo sin coste</t>
  </si>
  <si>
    <t xml:space="preserve">            b) Por naturaleza</t>
  </si>
  <si>
    <t xml:space="preserve">            1. Activos no corrientes mantenidos para la venta</t>
  </si>
  <si>
    <t xml:space="preserve">            2. Existencias</t>
  </si>
  <si>
    <t xml:space="preserve">            3. Clientes menos proveedores</t>
  </si>
  <si>
    <t xml:space="preserve">            4. Otros deudores (netos)</t>
  </si>
  <si>
    <t xml:space="preserve">            5. Inversiones financieras a corto plazo</t>
  </si>
  <si>
    <t xml:space="preserve">            6. Efectivo y otros activos líquidos equivalentes</t>
  </si>
  <si>
    <t xml:space="preserve">            7. Ajustes por periodificación (netos)</t>
  </si>
  <si>
    <t>C. ( - ) PROVISIONES</t>
  </si>
  <si>
    <t>ACTIVO NETO = PASIVO REMUNERADO</t>
  </si>
  <si>
    <t>D. FINANCIACIÓN PERMANENTE</t>
  </si>
  <si>
    <t xml:space="preserve">      1. Patrimonio neto (ajustado inflación)</t>
  </si>
  <si>
    <t>E. FINANCIACIÓN A CORTO PLAZO CON COSTE</t>
  </si>
  <si>
    <t>F. RECURSOS AJENOS CON COSTE</t>
  </si>
  <si>
    <t>Ratios análisis de la rentabilidad</t>
  </si>
  <si>
    <t>CONCEPTOS DE ESTADOS DE FLUJOS</t>
  </si>
  <si>
    <t>1. Intereses por financiación recibida y gastos asimilados</t>
  </si>
  <si>
    <t>2. Resultado ordinario neto</t>
  </si>
  <si>
    <t xml:space="preserve">      ESTRUCTURA DEL BALANCE MEDIO</t>
  </si>
  <si>
    <t xml:space="preserve">      a. Patrimonio neto</t>
  </si>
  <si>
    <t xml:space="preserve">      b. Recursos ajenos con coste</t>
  </si>
  <si>
    <t xml:space="preserve">      c. Activo neto = Pasivo remunerado</t>
  </si>
  <si>
    <t xml:space="preserve">      RATIOS</t>
  </si>
  <si>
    <t xml:space="preserve">      R.1 Rentabilidad ordinaria del activo neto</t>
  </si>
  <si>
    <t xml:space="preserve">      R.2 Intereses por financiación recibida y gastos asimilados sobre recursos ajenos con coste</t>
  </si>
  <si>
    <t xml:space="preserve">      R.3 Rentabilidad ordinaria de los recursos propios</t>
  </si>
  <si>
    <t xml:space="preserve">      R.4 Diferencia rentabilidad - coste financiero</t>
  </si>
  <si>
    <t xml:space="preserve">      R.5 Ratio de endeudamiento (saldos medios)</t>
  </si>
  <si>
    <t>Períodos medios de pago y cobro</t>
  </si>
  <si>
    <t>Período medio de pago a proveedores (días)</t>
  </si>
  <si>
    <t>Período medio de cobro a clientes (días)</t>
  </si>
  <si>
    <t>Financiación comercial neta (días)</t>
  </si>
  <si>
    <t>Clientes + Deudores por operaciones de tráfico</t>
  </si>
  <si>
    <t>Cifra neta de negocios</t>
  </si>
  <si>
    <t>Proveedores + Acreedores por operaciones de tráfico - Anticipos a proveedores</t>
  </si>
  <si>
    <t>Compras + Trabajos realizados por otras empresas</t>
  </si>
  <si>
    <t>Número medio de trabajadores</t>
  </si>
  <si>
    <t>A. NÚMERO MEDIO DE TRABAJADORES</t>
  </si>
  <si>
    <t xml:space="preserve">      1. Fijos</t>
  </si>
  <si>
    <t xml:space="preserve">      2. No fijos</t>
  </si>
  <si>
    <t>B. GASTOS DE PERSONAL</t>
  </si>
  <si>
    <t xml:space="preserve">      1. Sueldos y salarios</t>
  </si>
  <si>
    <t xml:space="preserve">      2. Cargas sociales</t>
  </si>
  <si>
    <t xml:space="preserve">            1. Cotizaciones a la Seguridad Social</t>
  </si>
  <si>
    <t xml:space="preserve">            2. Retribuciones a largo plazo mediante sistemas de aportación definida</t>
  </si>
  <si>
    <t xml:space="preserve">            3. Obligaciones por prestaciones a largo plazo al personal</t>
  </si>
  <si>
    <t xml:space="preserve">            4. Otras cargas sociales</t>
  </si>
  <si>
    <t xml:space="preserve">            5. Sin clasificar (cuestionario reducido)</t>
  </si>
  <si>
    <t>Remuneración de asalariados</t>
  </si>
  <si>
    <t>C. REMUNERACIÓN DE ASALARIADOS</t>
  </si>
  <si>
    <t xml:space="preserve">      1. Gastos de personal</t>
  </si>
  <si>
    <t xml:space="preserve">      2. Indemnizaciones y aplicación de las provisiones por reestructuración del personal</t>
  </si>
  <si>
    <t>Coste de personal por trabajador</t>
  </si>
  <si>
    <t>D. GASTOS DE PERSONAL POR TRABAJADOR (EUROS)</t>
  </si>
  <si>
    <t>E. REMUNERACIÓN DE ASALARIADOS POR TRABAJADOR (EUROS)</t>
  </si>
  <si>
    <t>Otros impuestos</t>
  </si>
  <si>
    <t>Rentabilidad</t>
  </si>
  <si>
    <t>Tesorería</t>
  </si>
  <si>
    <t>Comercio minorista</t>
  </si>
  <si>
    <t>Comparación</t>
  </si>
  <si>
    <t>Empresa</t>
  </si>
  <si>
    <t>Productividad</t>
  </si>
  <si>
    <t>* Beneficio de explotacion dividido activo total</t>
  </si>
  <si>
    <t>* Beneficio de explotacion dividido ventas</t>
  </si>
  <si>
    <t>* Beneficio del ejercicio dividido patrimonio neto</t>
  </si>
  <si>
    <t>Endeudamiento</t>
  </si>
  <si>
    <t>Ventas</t>
  </si>
  <si>
    <t>Porcentaje</t>
  </si>
  <si>
    <t>Acumulado</t>
  </si>
  <si>
    <t>Periodo medio de maduración</t>
  </si>
  <si>
    <t>Inicio</t>
  </si>
  <si>
    <t>Duración</t>
  </si>
  <si>
    <t>Proveedores</t>
  </si>
  <si>
    <t>Materias Primas</t>
  </si>
  <si>
    <t>En curso</t>
  </si>
  <si>
    <t>Acabados</t>
  </si>
  <si>
    <t>Clientes</t>
  </si>
  <si>
    <t>Ciclo producción</t>
  </si>
  <si>
    <t>Ciclo Maduración</t>
  </si>
  <si>
    <t>Ciclo de Caja</t>
  </si>
  <si>
    <t>Fecha de inicio</t>
  </si>
  <si>
    <t>Fin</t>
  </si>
  <si>
    <t>Empieza</t>
  </si>
  <si>
    <t>Ciclo de maduración de la empresa</t>
  </si>
  <si>
    <t>Importe de las compras anuales</t>
  </si>
  <si>
    <t>Existencias medias de materiales</t>
  </si>
  <si>
    <t>ma</t>
  </si>
  <si>
    <t>Rotación de las existencias de materiales</t>
  </si>
  <si>
    <t>ra=A/ma</t>
  </si>
  <si>
    <t>Coste anual de los productos</t>
  </si>
  <si>
    <t>F</t>
  </si>
  <si>
    <t>Existencias medias prod. en curso de fabricación</t>
  </si>
  <si>
    <t>mf</t>
  </si>
  <si>
    <t>Rotación de las existencias  en curso de fabricación</t>
  </si>
  <si>
    <t>rf=F/mf</t>
  </si>
  <si>
    <t>Coste anual de las ventas</t>
  </si>
  <si>
    <t>V</t>
  </si>
  <si>
    <t>Existencias medias de productos terminados</t>
  </si>
  <si>
    <t>mv</t>
  </si>
  <si>
    <t>Rotación de los productos terminados</t>
  </si>
  <si>
    <t>rv=V/mv</t>
  </si>
  <si>
    <t>Valor de las ventas anuales</t>
  </si>
  <si>
    <t>Saldo medio en la cuenta de clientes</t>
  </si>
  <si>
    <t>mc</t>
  </si>
  <si>
    <t>Rotación de clientes</t>
  </si>
  <si>
    <t>rc=C/mc</t>
  </si>
  <si>
    <t>Período medio de aprovisionamiento</t>
  </si>
  <si>
    <t>PMa=365/ra</t>
  </si>
  <si>
    <t>Período medio de fabricación</t>
  </si>
  <si>
    <t>PMf=365/rf</t>
  </si>
  <si>
    <t>Período medio de ventas</t>
  </si>
  <si>
    <t>PMv=365/rv</t>
  </si>
  <si>
    <t>Período medio de cobro</t>
  </si>
  <si>
    <t>PMc=365/rc</t>
  </si>
  <si>
    <t>Periodos medios de maduración</t>
  </si>
  <si>
    <t>1.</t>
  </si>
  <si>
    <t>2.</t>
  </si>
  <si>
    <t>3.</t>
  </si>
  <si>
    <t>Recursos humanos</t>
  </si>
  <si>
    <t>PRODUCTOS</t>
  </si>
  <si>
    <t>Producto A</t>
  </si>
  <si>
    <t>Producto B</t>
  </si>
  <si>
    <t>Producto C</t>
  </si>
  <si>
    <t>Producto E</t>
  </si>
  <si>
    <t>Producto D</t>
  </si>
  <si>
    <t>Ventas sector</t>
  </si>
  <si>
    <t>Ventas sector t-1</t>
  </si>
  <si>
    <t>TOTAL</t>
  </si>
  <si>
    <t>Cuota Mercado</t>
  </si>
  <si>
    <t>Ventas líder</t>
  </si>
  <si>
    <t>Relaciones laborales</t>
  </si>
  <si>
    <t>Plantilla</t>
  </si>
  <si>
    <t>Enero</t>
  </si>
  <si>
    <t>Febrero</t>
  </si>
  <si>
    <t>Marzo</t>
  </si>
  <si>
    <t>Abril</t>
  </si>
  <si>
    <t>Mayo</t>
  </si>
  <si>
    <t>Junio</t>
  </si>
  <si>
    <t>Julio</t>
  </si>
  <si>
    <t>Agosto</t>
  </si>
  <si>
    <t>Septiembre</t>
  </si>
  <si>
    <t>Octubre</t>
  </si>
  <si>
    <t>Noviembre</t>
  </si>
  <si>
    <t>Diciembre</t>
  </si>
  <si>
    <t>Cobros Previstos</t>
  </si>
  <si>
    <t>Pagos Previstos</t>
  </si>
  <si>
    <t>Saldo</t>
  </si>
  <si>
    <t>Diferencia mensual</t>
  </si>
  <si>
    <t>Por subvenciones</t>
  </si>
  <si>
    <t>Otros pagos</t>
  </si>
  <si>
    <t>Otros cobros</t>
  </si>
  <si>
    <t>Salarios</t>
  </si>
  <si>
    <t>Inversiones previstas</t>
  </si>
  <si>
    <t>Financieros</t>
  </si>
  <si>
    <t>Publicidad y comercialización</t>
  </si>
  <si>
    <t>Seguridad Social</t>
  </si>
  <si>
    <t>Seguros</t>
  </si>
  <si>
    <t>Suministros (luz, agua)</t>
  </si>
  <si>
    <t>Transporte</t>
  </si>
  <si>
    <t>Arrendamientos</t>
  </si>
  <si>
    <t>Dividendos</t>
  </si>
  <si>
    <t>Por  ventas a clientes</t>
  </si>
  <si>
    <t>Por compras a proveedores</t>
  </si>
  <si>
    <t>Empleado 1</t>
  </si>
  <si>
    <t>Empleado 2</t>
  </si>
  <si>
    <t>Empleado 3</t>
  </si>
  <si>
    <t>Empleado 4</t>
  </si>
  <si>
    <t>Sueldo</t>
  </si>
  <si>
    <t>Reparto</t>
  </si>
  <si>
    <t>Ideal</t>
  </si>
  <si>
    <t>Areas</t>
  </si>
  <si>
    <t>Máxima igualdad</t>
  </si>
  <si>
    <t>Dispersión Empresa</t>
  </si>
  <si>
    <t>Indice de Gini</t>
  </si>
  <si>
    <t>Curva de Lorenz de la dispersión salarial</t>
  </si>
  <si>
    <t>Formación</t>
  </si>
  <si>
    <t>Perfil de los trabajadores</t>
  </si>
  <si>
    <t>Clima laboral</t>
  </si>
  <si>
    <t>Remuneración vinculada a productividad</t>
  </si>
  <si>
    <t>Porcentaje del sueldo remuneración variable</t>
  </si>
  <si>
    <t>Porcentaje del sueldo productividad grupal</t>
  </si>
  <si>
    <t>Servicio de limpieza</t>
  </si>
  <si>
    <t>Servicio de alimentación</t>
  </si>
  <si>
    <t>Actividades externalizadas</t>
  </si>
  <si>
    <t>Vigilancia y seguridad</t>
  </si>
  <si>
    <t>Serivicios informáticos</t>
  </si>
  <si>
    <t>Almacén</t>
  </si>
  <si>
    <t>Distribución</t>
  </si>
  <si>
    <t>Producción</t>
  </si>
  <si>
    <t>Contabilidad y nóminas</t>
  </si>
  <si>
    <t>Otros</t>
  </si>
  <si>
    <t>Empleados departamento comercial</t>
  </si>
  <si>
    <t>Empleados departamento producción</t>
  </si>
  <si>
    <t>Empleados departamento finanzas</t>
  </si>
  <si>
    <t>Empleados departamento recursos humanos</t>
  </si>
  <si>
    <t>Empleados otros departamentos</t>
  </si>
  <si>
    <t>Porcentaje con estudios universitarios</t>
  </si>
  <si>
    <t>Valor añadido</t>
  </si>
  <si>
    <t>* Valor de la producción menos compras y otras adquisiciones exteriores</t>
  </si>
  <si>
    <t> Remuneración al Trabajo</t>
  </si>
  <si>
    <t>Remuneración al Capital Propio</t>
  </si>
  <si>
    <t>Remuneración al Capital Ajeno</t>
  </si>
  <si>
    <t xml:space="preserve"> Participación del Estado</t>
  </si>
  <si>
    <t>Mantenimiento y Expansión de la Empresa</t>
  </si>
  <si>
    <t>Reparto del valor añadido Empresa</t>
  </si>
  <si>
    <t>Reparto del valor añadido Sector</t>
  </si>
  <si>
    <t>* Sueldos y Salarios, Seguridad Social empresa, Pensiones, otras prestaciones</t>
  </si>
  <si>
    <t>* Dividendos</t>
  </si>
  <si>
    <t>* intereses de préstamos</t>
  </si>
  <si>
    <t>* Amortizaciones, provisiones y beneficios retenidos</t>
  </si>
  <si>
    <t>* Impuesto beneficios y otros impuestos</t>
  </si>
  <si>
    <t>Beneficios retenidos</t>
  </si>
  <si>
    <t>Remuneración al trabajo %</t>
  </si>
  <si>
    <t>Remuneración al capital propio %</t>
  </si>
  <si>
    <t>Remuneración al capital ajeno %</t>
  </si>
  <si>
    <t>Participación del Estado %</t>
  </si>
  <si>
    <t>Mantenimiento y expansión de empresa %</t>
  </si>
  <si>
    <t>Compras</t>
  </si>
  <si>
    <t>G Personal</t>
  </si>
  <si>
    <t>G Expl</t>
  </si>
  <si>
    <t>Amort</t>
  </si>
  <si>
    <t>Ing Fin</t>
  </si>
  <si>
    <t>Gastos Fin</t>
  </si>
  <si>
    <t>Imp</t>
  </si>
  <si>
    <t>Div</t>
  </si>
  <si>
    <t>Resv</t>
  </si>
  <si>
    <t>Origen</t>
  </si>
  <si>
    <t>BAI</t>
  </si>
  <si>
    <t>Bº Explotación</t>
  </si>
  <si>
    <t>BDII</t>
  </si>
  <si>
    <t>Cascada de resultados de la empresa</t>
  </si>
  <si>
    <t>Cascada de resultados del sector</t>
  </si>
  <si>
    <t>&lt;---- tendencia</t>
  </si>
  <si>
    <t>Esquema Dupont</t>
  </si>
  <si>
    <t>* Activo corriente menos pasivo corriente.</t>
  </si>
  <si>
    <t>Periodo medio de pago</t>
  </si>
  <si>
    <t>Rotación de proveedores</t>
  </si>
  <si>
    <t>Saldo medio en la cuenta de proveedores</t>
  </si>
  <si>
    <t>Puesta en marcha de la empresa</t>
  </si>
  <si>
    <t>Aportaciones monetarias</t>
  </si>
  <si>
    <t>Gastos previos a la puesta en marcha de la empresa</t>
  </si>
  <si>
    <t>Elementos de transporte</t>
  </si>
  <si>
    <t>Existencias</t>
  </si>
  <si>
    <t>Equipos informáticos</t>
  </si>
  <si>
    <t>Certificación negativa del nombre</t>
  </si>
  <si>
    <t>Impuestos</t>
  </si>
  <si>
    <t>Matriz DAFO</t>
  </si>
  <si>
    <t>Fortalezas</t>
  </si>
  <si>
    <t>Debilidades</t>
  </si>
  <si>
    <t>Alta calidad de la materia prima</t>
  </si>
  <si>
    <t>Falta de cultura empresarial en exportación</t>
  </si>
  <si>
    <t>Mucha capacidad productiva, con secaderos de última generación</t>
  </si>
  <si>
    <t>No sabemos idiomas</t>
  </si>
  <si>
    <t>Oportunidades</t>
  </si>
  <si>
    <t>Amenazas</t>
  </si>
  <si>
    <t xml:space="preserve">El jamón italiano de Parma </t>
  </si>
  <si>
    <t>Gusto por el buen jamón de los extranjeros</t>
  </si>
  <si>
    <t>Crisis alimentarias (vacas locas, pepino...)</t>
  </si>
  <si>
    <t>Asesoría legal</t>
  </si>
  <si>
    <t>Estudio de mercado</t>
  </si>
  <si>
    <t>Estudios de mercado</t>
  </si>
  <si>
    <t>Viajes</t>
  </si>
  <si>
    <t>Oficina, libros, imprenta</t>
  </si>
  <si>
    <t>Desarrollo de prototipos</t>
  </si>
  <si>
    <t>Asesoría fiscal y contable</t>
  </si>
  <si>
    <t>Otros gastos e inversiones</t>
  </si>
  <si>
    <t>Software</t>
  </si>
  <si>
    <t>Mobiliario</t>
  </si>
  <si>
    <t>Acondicionamiento del local</t>
  </si>
  <si>
    <t>Derechos de traspaso, patentes y marcas</t>
  </si>
  <si>
    <t>Redacción Estatutos, notario</t>
  </si>
  <si>
    <t>Aportaciones de bienes y derechos</t>
  </si>
  <si>
    <t>Créditos y préstamos bancarios</t>
  </si>
  <si>
    <t>Subvenciones del Estado, CCAA y otras</t>
  </si>
  <si>
    <t>Mensualidad de luz</t>
  </si>
  <si>
    <t>Mensualidad de agua</t>
  </si>
  <si>
    <t>Mensualidad de hosting</t>
  </si>
  <si>
    <t>Mensualidad de telecomunicaciones</t>
  </si>
  <si>
    <t>Mensualidad por sueldos brutos personal</t>
  </si>
  <si>
    <t>Mensualidad por sueldos brutos emprendedores</t>
  </si>
  <si>
    <t>Mensualidad de alquiler local</t>
  </si>
  <si>
    <t>Seguridad Social del personal (32%)</t>
  </si>
  <si>
    <t>Seguridad Social del emprendedor (32%)</t>
  </si>
  <si>
    <t>Inversiones necesarias</t>
  </si>
  <si>
    <t>Datos sobre el proyecto</t>
  </si>
  <si>
    <t>Nombre del proyecto:</t>
  </si>
  <si>
    <t>Emprendedor:</t>
  </si>
  <si>
    <t>El producto</t>
  </si>
  <si>
    <t>Los consumidores</t>
  </si>
  <si>
    <t>La competencia</t>
  </si>
  <si>
    <t>El mercado actual</t>
  </si>
  <si>
    <t>Información sobre los competidores, su tamaño y diferencias con respecto a lo que planteamos en este proyecto.</t>
  </si>
  <si>
    <t>Forma jurídica, socios, capital y responsabilidad</t>
  </si>
  <si>
    <t>Localización e instalaciones previstas</t>
  </si>
  <si>
    <t>Organigrama y estructuración de tareas</t>
  </si>
  <si>
    <t>Los proveedores</t>
  </si>
  <si>
    <t>Evolución prevista del mercado</t>
  </si>
  <si>
    <t>Personal contratado</t>
  </si>
  <si>
    <t>Financiación</t>
  </si>
  <si>
    <t>Ayudas recibidas</t>
  </si>
  <si>
    <t>Financiación propia</t>
  </si>
  <si>
    <t>Umbral de rentabilidad</t>
  </si>
  <si>
    <t>Precio de compra por unidad</t>
  </si>
  <si>
    <t>Precio de venta por unidad</t>
  </si>
  <si>
    <t>Publicidad mensual</t>
  </si>
  <si>
    <t>Umbral de rentabilidad (unidades mensuales)</t>
  </si>
  <si>
    <t>Ingresos</t>
  </si>
  <si>
    <t>Beneficio</t>
  </si>
  <si>
    <t>Simulación</t>
  </si>
  <si>
    <t>Coste variable</t>
  </si>
  <si>
    <t>Coste total</t>
  </si>
  <si>
    <t>Coste fijo</t>
  </si>
  <si>
    <t>Plazo amortiz</t>
  </si>
  <si>
    <t>Amortiz. mes</t>
  </si>
  <si>
    <t>Empleados departamento logística</t>
  </si>
  <si>
    <t>Ventas previstas</t>
  </si>
  <si>
    <t>Información sobre los proveedores, distribuidores y empresas de transporte.</t>
  </si>
  <si>
    <t>Legislación nacional e internacional sobre el producto, restricciones a la exportación y fiscalidad</t>
  </si>
  <si>
    <t>Marco jurídico y fiscal</t>
  </si>
  <si>
    <t>Organización de la empresa</t>
  </si>
  <si>
    <t>Tendencias que se observan y productos sustitutos que pueden ser una amenaza</t>
  </si>
  <si>
    <t>Dependiendo de la actividad, complejidad y envergadura del proyecto se elege la forma jurídica más adecuada.</t>
  </si>
  <si>
    <t>Funciones que realizarán empleados de la empresa.</t>
  </si>
  <si>
    <t>Tipos de contratos de trabajo previstos y su remuneración, así como condiciones laborales</t>
  </si>
  <si>
    <t>Dónde se ubicará la empresa y las principales instalaciones que precisará</t>
  </si>
  <si>
    <t>Nombres de dominio en Internet</t>
  </si>
  <si>
    <t>Otros gastos mensuales</t>
  </si>
  <si>
    <t>Financiación ajena necesaria</t>
  </si>
  <si>
    <t>Costes fijos mensuales</t>
  </si>
  <si>
    <t>* Se han sumado los costes fijos mensuales, la amortización mensual y los gastos financieros</t>
  </si>
  <si>
    <t>Mensualidad de seguros</t>
  </si>
  <si>
    <t>Mensualidad de transporte</t>
  </si>
  <si>
    <t>Presupuesto de tesorería</t>
  </si>
  <si>
    <t>Balance y resultados previstos</t>
  </si>
  <si>
    <t>Solvencia</t>
  </si>
  <si>
    <t>Periodos de maduración</t>
  </si>
  <si>
    <t>Liquidez</t>
  </si>
  <si>
    <t>Plazo de recuperación de la inversión</t>
  </si>
  <si>
    <t>Universidad de Zaragoza, 2011</t>
  </si>
  <si>
    <t>Modelo de Plan de Negocios y Análisis de Viabilidad de Empresas</t>
  </si>
  <si>
    <t>Intereses</t>
  </si>
  <si>
    <t>Devolución principal</t>
  </si>
  <si>
    <t>Tipo interés</t>
  </si>
  <si>
    <t>Financiación necesaria</t>
  </si>
  <si>
    <t>Crecimiento de ventas del sector en el último año</t>
  </si>
  <si>
    <t>Crecimiento de  ventas del sector en los últimos 9 años</t>
  </si>
  <si>
    <t>* Dato tomado de las cuentas anuales del sector</t>
  </si>
  <si>
    <t>Crecimiento previsto de las ventas</t>
  </si>
  <si>
    <t>Mensualidad intereses</t>
  </si>
  <si>
    <t>Mensualidad principal</t>
  </si>
  <si>
    <t>Crecimiento previsto de aprovisionamientos</t>
  </si>
  <si>
    <t>Crecimiento previsto gastos personal</t>
  </si>
  <si>
    <t>Crecimiento previsto de gastos explotación</t>
  </si>
  <si>
    <t>Ayudas del programa de Gestores de Exportación de las Cámaras de Comercio</t>
  </si>
  <si>
    <t>......</t>
  </si>
  <si>
    <t>..........</t>
  </si>
  <si>
    <t>........</t>
  </si>
  <si>
    <r>
      <t xml:space="preserve">Interno </t>
    </r>
    <r>
      <rPr>
        <b/>
        <sz val="24"/>
        <color theme="1"/>
        <rFont val="Webdings"/>
        <family val="1"/>
        <charset val="2"/>
      </rPr>
      <t>4</t>
    </r>
  </si>
  <si>
    <r>
      <t xml:space="preserve">Externo </t>
    </r>
    <r>
      <rPr>
        <b/>
        <sz val="24"/>
        <color theme="1"/>
        <rFont val="Webdings"/>
        <family val="1"/>
        <charset val="2"/>
      </rPr>
      <t>4</t>
    </r>
  </si>
  <si>
    <r>
      <t xml:space="preserve">Potencialidades (FO) </t>
    </r>
    <r>
      <rPr>
        <b/>
        <sz val="24"/>
        <color theme="1"/>
        <rFont val="Webdings"/>
        <family val="1"/>
        <charset val="2"/>
      </rPr>
      <t>4</t>
    </r>
  </si>
  <si>
    <r>
      <t xml:space="preserve">Riesgos (FA) </t>
    </r>
    <r>
      <rPr>
        <b/>
        <sz val="24"/>
        <color theme="1"/>
        <rFont val="Webdings"/>
        <family val="1"/>
        <charset val="2"/>
      </rPr>
      <t>4</t>
    </r>
  </si>
  <si>
    <r>
      <t xml:space="preserve">Desafíos (DO) </t>
    </r>
    <r>
      <rPr>
        <b/>
        <sz val="24"/>
        <color theme="1"/>
        <rFont val="Webdings"/>
        <family val="1"/>
        <charset val="2"/>
      </rPr>
      <t>4</t>
    </r>
  </si>
  <si>
    <r>
      <t xml:space="preserve">Limitaciones (DA) </t>
    </r>
    <r>
      <rPr>
        <b/>
        <sz val="24"/>
        <color theme="1"/>
        <rFont val="Webdings"/>
        <family val="1"/>
        <charset val="2"/>
      </rPr>
      <t>4</t>
    </r>
  </si>
  <si>
    <r>
      <t xml:space="preserve">Aspectos positivos para el proyecto </t>
    </r>
    <r>
      <rPr>
        <b/>
        <sz val="24"/>
        <color theme="1"/>
        <rFont val="Webdings"/>
        <family val="1"/>
        <charset val="2"/>
      </rPr>
      <t>6</t>
    </r>
  </si>
  <si>
    <r>
      <t xml:space="preserve">Aspectos negativos para conseguir el proyecto </t>
    </r>
    <r>
      <rPr>
        <b/>
        <sz val="24"/>
        <color theme="1"/>
        <rFont val="Webdings"/>
        <family val="1"/>
        <charset val="2"/>
      </rPr>
      <t>6</t>
    </r>
  </si>
  <si>
    <r>
      <t xml:space="preserve">Combinaciones </t>
    </r>
    <r>
      <rPr>
        <b/>
        <sz val="24"/>
        <color theme="1"/>
        <rFont val="Webdings"/>
        <family val="1"/>
        <charset val="2"/>
      </rPr>
      <t>6</t>
    </r>
  </si>
  <si>
    <r>
      <t xml:space="preserve">¿Qué hacer? </t>
    </r>
    <r>
      <rPr>
        <b/>
        <sz val="24"/>
        <color theme="1"/>
        <rFont val="Webdings"/>
        <family val="1"/>
        <charset val="2"/>
      </rPr>
      <t>6</t>
    </r>
  </si>
  <si>
    <t>PLAN DE NEGOCIOS</t>
  </si>
  <si>
    <t>Descripción del producto o servicio y de las necesidades que pretende cubrir. Diferencias con respecto a los competidores.</t>
  </si>
  <si>
    <t>Breve descripción que incluye la idea de negocio (qué queremos hacer) y los puntos clave más importantes, destacando la innovación que aporta nuestro proyecto empresarial. Su nombre procede de los dos minutos que dura un trayecto en ascensor, tiempo en el que tendríamos que captar la atención de un posible inversor.</t>
  </si>
  <si>
    <t>El tamaño del mercado en el que va a competir nuestro producto y los segmentos del mismo. Referencia tanto nacional como internacional.</t>
  </si>
  <si>
    <t>Información sobre los clientes y su segmentación</t>
  </si>
  <si>
    <t>Se describe la estructura y departamentos de la empresa, así como las funciones que va a realizar cada uno de los socios.</t>
  </si>
  <si>
    <t>Quién va a ser nuestro asesor jurídico, contable, fiscal.</t>
  </si>
  <si>
    <t>Convendría tener listo un plan B para almacenar el exceso de producción o dar salida al stock</t>
  </si>
  <si>
    <t>Gran potencial para la exportación</t>
  </si>
  <si>
    <t>Tendremos que aprender de su mano</t>
  </si>
  <si>
    <t>Contratar al personal adecuado y completar formación con cursos especializados</t>
  </si>
  <si>
    <t xml:space="preserve"> -&gt;</t>
  </si>
  <si>
    <t>Ventas mensuales previstas primer año</t>
  </si>
  <si>
    <t>gastos puesta marcha</t>
  </si>
  <si>
    <t>tesoreria</t>
  </si>
  <si>
    <t>reservas</t>
  </si>
  <si>
    <t>alquiler enero</t>
  </si>
  <si>
    <t>alquiler feb</t>
  </si>
  <si>
    <t>alquiler mar</t>
  </si>
  <si>
    <t>alquiler ab</t>
  </si>
  <si>
    <t>alquiler may</t>
  </si>
  <si>
    <t>alquiler jun</t>
  </si>
  <si>
    <t>alquiler jul</t>
  </si>
  <si>
    <t>alquiler ago</t>
  </si>
  <si>
    <t>alquiler sep</t>
  </si>
  <si>
    <t>alquiler oct</t>
  </si>
  <si>
    <t>alquiler nov</t>
  </si>
  <si>
    <t>alquiler dic</t>
  </si>
  <si>
    <t>gastos local</t>
  </si>
  <si>
    <t>mobiliario</t>
  </si>
  <si>
    <t>equipos y soft</t>
  </si>
  <si>
    <t>capital</t>
  </si>
  <si>
    <t>amort equipos y soft</t>
  </si>
  <si>
    <t>amort mobiliario</t>
  </si>
  <si>
    <t>gastos enero</t>
  </si>
  <si>
    <t>gastos feb</t>
  </si>
  <si>
    <t>m</t>
  </si>
  <si>
    <t>a</t>
  </si>
  <si>
    <t>j</t>
  </si>
  <si>
    <t>s</t>
  </si>
  <si>
    <t>o</t>
  </si>
  <si>
    <t>n</t>
  </si>
  <si>
    <t>d</t>
  </si>
  <si>
    <t>gastos personal ene</t>
  </si>
  <si>
    <t>gastos pers feb</t>
  </si>
  <si>
    <t>subvenciones</t>
  </si>
  <si>
    <t>prestamos</t>
  </si>
  <si>
    <t>gastos fin f</t>
  </si>
  <si>
    <t>prestamos f</t>
  </si>
  <si>
    <t>dev pres ene</t>
  </si>
  <si>
    <t>ventas ene</t>
  </si>
  <si>
    <t>compras ene</t>
  </si>
  <si>
    <t>tesorería</t>
  </si>
  <si>
    <t>dividendo</t>
  </si>
  <si>
    <t>compras feb</t>
  </si>
  <si>
    <t>ventas f</t>
  </si>
  <si>
    <t>impuestos</t>
  </si>
  <si>
    <t>ventas</t>
  </si>
  <si>
    <t>compras</t>
  </si>
  <si>
    <t>gastos amort</t>
  </si>
  <si>
    <t>alquiler enero y local</t>
  </si>
  <si>
    <t>gastos otros meses</t>
  </si>
  <si>
    <t>¿cuadra?</t>
  </si>
  <si>
    <t>Descripción breve o elevator pitch</t>
  </si>
  <si>
    <t>* Vease un ejemplo de costes reales creación empresa en http://www.fomento.es/NR/rdonlyres/3A63E803-2604-4F00-8B8E-F020FB8A0626/2007/tramitescostes.pdf</t>
  </si>
  <si>
    <t>Registro Mercantil: inscripción, actas</t>
  </si>
  <si>
    <t>* El Plan General de Contabilidad distingue entre los "gastos de constitución" que se imputan directamente al patrimonio neto de la empresa</t>
  </si>
  <si>
    <t xml:space="preserve"> y "gastos de primer establecimiento", que se contabilizan como gastos del ejercicio, es decir en la cuenta de pérdidas y ganancias </t>
  </si>
  <si>
    <t>Vamos a considerar que los de este apartado son "gastos de constitucion" y lo suq ehay en el resto de apartados son de "primer establecimiento"</t>
  </si>
  <si>
    <t>Ejemplo: tienda online que vende y exporta jamones por Internet</t>
  </si>
  <si>
    <t>* Los equipos informáticos y el software</t>
  </si>
  <si>
    <t>* Diferencia entre lo que tenemos y lo que necesitamos</t>
  </si>
  <si>
    <t>TOTAL ACTIVO = PATRIM + PASIVO</t>
  </si>
  <si>
    <t>Cash Flow</t>
  </si>
  <si>
    <t>Crecimiento Sector</t>
  </si>
  <si>
    <t>Matriz Boston de análisis de productos</t>
  </si>
  <si>
    <t>* Valor Actual Neto</t>
  </si>
  <si>
    <t>* Tasa Interna de Retorno</t>
  </si>
  <si>
    <t>Posibilidad de vender el negocio</t>
  </si>
  <si>
    <t>PayBack</t>
  </si>
  <si>
    <t>Los 3000 euros de constituir la empresa</t>
  </si>
  <si>
    <t>y el resto hasta los 10000 a reservas</t>
  </si>
  <si>
    <t>recibimos la subvencion</t>
  </si>
  <si>
    <t>y el préstamo</t>
  </si>
  <si>
    <t>los primeros gastos de puesta en marcha</t>
  </si>
  <si>
    <t>gastos primer establecimiento</t>
  </si>
  <si>
    <t>y los gastos de constitución, contra reservas</t>
  </si>
  <si>
    <t>el alquiler del local</t>
  </si>
  <si>
    <t>los gastos de arreglar el local</t>
  </si>
  <si>
    <t>compramos mobiliario</t>
  </si>
  <si>
    <t>el socio aporta ordenadores y software</t>
  </si>
  <si>
    <t>gastos de explotacion en enero</t>
  </si>
  <si>
    <t>gastos de personal en enero</t>
  </si>
  <si>
    <t>gastos financ ene</t>
  </si>
  <si>
    <t>intereses del préstamo pagados en enero</t>
  </si>
  <si>
    <t>devolución del principal pagado en enero</t>
  </si>
  <si>
    <t>ventas jamones mes enero</t>
  </si>
  <si>
    <t>compras jamones mes enero</t>
  </si>
  <si>
    <t>Saldo de tesorería</t>
  </si>
  <si>
    <t>total cobros</t>
  </si>
  <si>
    <t>total pagos</t>
  </si>
  <si>
    <t>los gastos de explotación del resto del año</t>
  </si>
  <si>
    <t>el alquiler del local del resto del año</t>
  </si>
  <si>
    <t>los gastos de personal del resto del año</t>
  </si>
  <si>
    <t>los gastos financieros del resto del año</t>
  </si>
  <si>
    <t>la devolucion del préstamo del resto del año</t>
  </si>
  <si>
    <t>las compras de jamones del resto del año</t>
  </si>
  <si>
    <t>las ventas de jamones del resto del año</t>
  </si>
  <si>
    <t>amortización de los equipos a fin de año</t>
  </si>
  <si>
    <t>amortización del mobiliario a fin de año</t>
  </si>
  <si>
    <t>pago del dividendo a final de año</t>
  </si>
  <si>
    <t xml:space="preserve">* Tanto los equipos informáticos como el software los aporta uno de los socios </t>
  </si>
  <si>
    <t>* Hay unas tablas de amortización máxima y mínima  http://www.boe.es/boe/dias/2004/08/06/pdfs/A28377-28429.pdf y http://www.gabilos.com/leyes/rd1777-2004.t7.html#anexo</t>
  </si>
  <si>
    <t>Tesorería a fines de diciembre</t>
  </si>
  <si>
    <t>gastos mar</t>
  </si>
  <si>
    <t>Tabla de amortización del préstamo e intereses</t>
  </si>
  <si>
    <t>Principal año 2</t>
  </si>
  <si>
    <t>Intereses año 2</t>
  </si>
  <si>
    <t>Intereses año 3</t>
  </si>
  <si>
    <t>Principal año 3</t>
  </si>
  <si>
    <t>Intereses año 4</t>
  </si>
  <si>
    <t>Principal año 4</t>
  </si>
  <si>
    <t>Intereses año 5</t>
  </si>
  <si>
    <t>Principal año 5</t>
  </si>
  <si>
    <t>* Consideramos que la empresa podrá hacer  "dropshipping", es decir, vender sin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</si>
</sst>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0.00\ &quot;€&quot;;[Red]\-#,##0.00\ &quot;€&quot;"/>
    <numFmt numFmtId="44" formatCode="_-* #,##0.00\ &quot;€&quot;_-;\-* #,##0.00\ &quot;€&quot;_-;_-* &quot;-&quot;??\ &quot;€&quot;_-;_-@_-"/>
    <numFmt numFmtId="43" formatCode="_-* #,##0.00\ _€_-;\-* #,##0.00\ _€_-;_-* &quot;-&quot;??\ _€_-;_-@_-"/>
    <numFmt numFmtId="164" formatCode="0.0%"/>
    <numFmt numFmtId="165" formatCode="#,##0_ ;[Red]\-#,##0\ "/>
    <numFmt numFmtId="166" formatCode="#,##0.00_ ;[Red]\-#,##0.00\ "/>
    <numFmt numFmtId="167" formatCode="#,##0.0000_ ;[Red]\-#,##0.0000\ "/>
    <numFmt numFmtId="168" formatCode="_-* #,##0\ _€_-;\-* #,##0\ _€_-;_-* &quot;-&quot;??\ _€_-;_-@_-"/>
    <numFmt numFmtId="169" formatCode="_-* #,##0.00\ [$€-1]_-;\-* #,##0.00\ [$€-1]_-;_-* \-??\ [$€-1]_-"/>
    <numFmt numFmtId="170" formatCode="#,##0.0_ ;[Red]\-#,##0.0\ "/>
    <numFmt numFmtId="171" formatCode="0.00%;[Red]\-0.00%"/>
    <numFmt numFmtId="172" formatCode="0.0000"/>
    <numFmt numFmtId="173" formatCode="#,###"/>
    <numFmt numFmtId="174" formatCode="#,##0\ &quot;€&quot;"/>
    <numFmt numFmtId="175" formatCode="_-* #,##0.0000\ _€_-;\-* #,##0.0000\ _€_-;_-* &quot;-&quot;??\ _€_-;_-@_-"/>
    <numFmt numFmtId="176" formatCode="_-* #,##0.0000\ _€_-;\-* #,##0.0000\ _€_-;_-* &quot;-&quot;????\ _€_-;_-@_-"/>
    <numFmt numFmtId="177" formatCode="0.000"/>
    <numFmt numFmtId="178" formatCode="0&quot; unidades&quot;"/>
    <numFmt numFmtId="179" formatCode="0&quot; años&quot;"/>
    <numFmt numFmtId="180" formatCode="0.00_ ;[Red]\-0.00\ "/>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color indexed="60"/>
      <name val="Arial Narrow"/>
      <family val="2"/>
    </font>
    <font>
      <b/>
      <sz val="10"/>
      <name val="Arial"/>
      <family val="2"/>
    </font>
    <font>
      <sz val="11"/>
      <name val="Calibri"/>
      <family val="2"/>
      <scheme val="minor"/>
    </font>
    <font>
      <sz val="10"/>
      <color theme="1"/>
      <name val="Calibri"/>
      <family val="2"/>
      <scheme val="minor"/>
    </font>
    <font>
      <sz val="16"/>
      <color theme="1"/>
      <name val="Calibri"/>
      <family val="2"/>
      <scheme val="minor"/>
    </font>
    <font>
      <sz val="12"/>
      <color theme="1"/>
      <name val="Calibri"/>
      <family val="2"/>
      <scheme val="minor"/>
    </font>
    <font>
      <sz val="10"/>
      <name val="Arial"/>
      <family val="2"/>
    </font>
    <font>
      <sz val="12"/>
      <name val="Arial"/>
      <family val="2"/>
    </font>
    <font>
      <b/>
      <sz val="8"/>
      <name val="Arial"/>
      <family val="2"/>
    </font>
    <font>
      <b/>
      <sz val="11"/>
      <color rgb="FFFF0000"/>
      <name val="Calibri"/>
      <family val="2"/>
      <scheme val="minor"/>
    </font>
    <font>
      <sz val="12"/>
      <name val="Calibri"/>
      <family val="2"/>
      <scheme val="minor"/>
    </font>
    <font>
      <sz val="10"/>
      <name val="Calibri"/>
      <family val="2"/>
      <scheme val="minor"/>
    </font>
    <font>
      <sz val="10"/>
      <color indexed="9"/>
      <name val="Calibri"/>
      <family val="2"/>
      <scheme val="minor"/>
    </font>
    <font>
      <b/>
      <sz val="12"/>
      <color theme="1"/>
      <name val="Calibri"/>
      <family val="2"/>
      <scheme val="minor"/>
    </font>
    <font>
      <sz val="11"/>
      <color theme="0" tint="-4.9989318521683403E-2"/>
      <name val="Calibri"/>
      <family val="2"/>
      <scheme val="minor"/>
    </font>
    <font>
      <b/>
      <sz val="10"/>
      <name val="Calibri"/>
      <family val="2"/>
      <scheme val="minor"/>
    </font>
    <font>
      <sz val="12"/>
      <color theme="0" tint="-4.9989318521683403E-2"/>
      <name val="Arial"/>
      <family val="2"/>
    </font>
    <font>
      <sz val="12"/>
      <color theme="0" tint="-4.9989318521683403E-2"/>
      <name val="Calibri"/>
      <family val="2"/>
      <scheme val="minor"/>
    </font>
    <font>
      <b/>
      <sz val="10"/>
      <color theme="1"/>
      <name val="Calibri"/>
      <family val="2"/>
      <scheme val="minor"/>
    </font>
    <font>
      <sz val="10"/>
      <color indexed="8"/>
      <name val="Calibri"/>
      <family val="2"/>
      <scheme val="minor"/>
    </font>
    <font>
      <sz val="20"/>
      <name val="Arial"/>
      <family val="2"/>
    </font>
    <font>
      <sz val="10"/>
      <color theme="0"/>
      <name val="Calibri"/>
      <family val="2"/>
      <scheme val="minor"/>
    </font>
    <font>
      <sz val="12"/>
      <color indexed="11"/>
      <name val="Arial"/>
      <family val="2"/>
    </font>
    <font>
      <sz val="9"/>
      <color indexed="8"/>
      <name val="Arial"/>
      <family val="2"/>
    </font>
    <font>
      <b/>
      <sz val="14"/>
      <color theme="1"/>
      <name val="Calibri"/>
      <family val="2"/>
      <scheme val="minor"/>
    </font>
    <font>
      <b/>
      <sz val="16"/>
      <color theme="1"/>
      <name val="Calibri"/>
      <family val="2"/>
      <scheme val="minor"/>
    </font>
    <font>
      <sz val="14"/>
      <color theme="1"/>
      <name val="Calibri"/>
      <family val="2"/>
      <scheme val="minor"/>
    </font>
    <font>
      <b/>
      <sz val="10"/>
      <color theme="2"/>
      <name val="Arial"/>
      <family val="2"/>
    </font>
    <font>
      <sz val="9"/>
      <color theme="1"/>
      <name val="Calibri"/>
      <family val="2"/>
      <scheme val="minor"/>
    </font>
    <font>
      <u/>
      <sz val="11"/>
      <color theme="10"/>
      <name val="Calibri"/>
      <family val="2"/>
      <scheme val="minor"/>
    </font>
    <font>
      <b/>
      <sz val="18"/>
      <color theme="1"/>
      <name val="Calibri"/>
      <family val="2"/>
      <scheme val="minor"/>
    </font>
    <font>
      <b/>
      <sz val="24"/>
      <color theme="1"/>
      <name val="Calibri"/>
      <family val="2"/>
      <scheme val="minor"/>
    </font>
    <font>
      <b/>
      <sz val="24"/>
      <color theme="1"/>
      <name val="Webdings"/>
      <family val="1"/>
      <charset val="2"/>
    </font>
    <font>
      <sz val="8"/>
      <name val="Arial"/>
      <family val="2"/>
    </font>
    <font>
      <sz val="11"/>
      <color theme="1"/>
      <name val="Arial"/>
      <family val="2"/>
    </font>
    <font>
      <sz val="11"/>
      <name val="Arial"/>
      <family val="2"/>
    </font>
    <font>
      <b/>
      <sz val="11"/>
      <color theme="1"/>
      <name val="Arial"/>
      <family val="2"/>
    </font>
    <font>
      <sz val="11"/>
      <color rgb="FFC0000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EFCBA"/>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11"/>
        <bgColor indexed="64"/>
      </patternFill>
    </fill>
    <fill>
      <patternFill patternType="solid">
        <fgColor rgb="FFFF0000"/>
        <bgColor indexed="64"/>
      </patternFill>
    </fill>
    <fill>
      <patternFill patternType="solid">
        <fgColor theme="4" tint="0.59999389629810485"/>
        <bgColor indexed="64"/>
      </patternFill>
    </fill>
    <fill>
      <patternFill patternType="solid">
        <fgColor indexed="9"/>
        <bgColor indexed="26"/>
      </patternFill>
    </fill>
    <fill>
      <patternFill patternType="solid">
        <fgColor theme="0"/>
        <bgColor indexed="3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4.9989318521683403E-2"/>
        <bgColor indexed="26"/>
      </patternFill>
    </fill>
    <fill>
      <patternFill patternType="solid">
        <fgColor rgb="FF92D050"/>
        <bgColor indexed="64"/>
      </patternFill>
    </fill>
    <fill>
      <patternFill patternType="solid">
        <fgColor rgb="FF00FF00"/>
        <bgColor indexed="64"/>
      </patternFill>
    </fill>
    <fill>
      <patternFill patternType="solid">
        <fgColor theme="9"/>
        <bgColor indexed="64"/>
      </patternFill>
    </fill>
    <fill>
      <patternFill patternType="solid">
        <fgColor theme="6"/>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2"/>
        <bgColor indexed="64"/>
      </patternFill>
    </fill>
    <fill>
      <patternFill patternType="solid">
        <fgColor theme="4" tint="0.39997558519241921"/>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style="thin">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3"/>
      </left>
      <right style="hair">
        <color indexed="63"/>
      </right>
      <top/>
      <bottom style="hair">
        <color indexed="63"/>
      </bottom>
      <diagonal/>
    </border>
    <border>
      <left style="hair">
        <color indexed="63"/>
      </left>
      <right style="hair">
        <color indexed="63"/>
      </right>
      <top style="hair">
        <color indexed="63"/>
      </top>
      <bottom style="hair">
        <color indexed="63"/>
      </bottom>
      <diagonal/>
    </border>
    <border>
      <left style="medium">
        <color indexed="64"/>
      </left>
      <right style="hair">
        <color indexed="63"/>
      </right>
      <top style="hair">
        <color indexed="63"/>
      </top>
      <bottom style="hair">
        <color indexed="63"/>
      </bottom>
      <diagonal/>
    </border>
    <border>
      <left style="hair">
        <color indexed="63"/>
      </left>
      <right style="medium">
        <color indexed="64"/>
      </right>
      <top style="hair">
        <color indexed="63"/>
      </top>
      <bottom style="hair">
        <color indexed="63"/>
      </bottom>
      <diagonal/>
    </border>
    <border>
      <left style="medium">
        <color indexed="64"/>
      </left>
      <right style="hair">
        <color indexed="63"/>
      </right>
      <top style="hair">
        <color indexed="63"/>
      </top>
      <bottom style="medium">
        <color indexed="64"/>
      </bottom>
      <diagonal/>
    </border>
    <border>
      <left style="hair">
        <color indexed="63"/>
      </left>
      <right style="hair">
        <color indexed="63"/>
      </right>
      <top style="hair">
        <color indexed="63"/>
      </top>
      <bottom style="medium">
        <color indexed="64"/>
      </bottom>
      <diagonal/>
    </border>
    <border>
      <left style="hair">
        <color indexed="63"/>
      </left>
      <right style="medium">
        <color indexed="64"/>
      </right>
      <top style="hair">
        <color indexed="63"/>
      </top>
      <bottom style="medium">
        <color indexed="64"/>
      </bottom>
      <diagonal/>
    </border>
    <border>
      <left style="medium">
        <color indexed="64"/>
      </left>
      <right style="hair">
        <color indexed="63"/>
      </right>
      <top/>
      <bottom style="hair">
        <color indexed="63"/>
      </bottom>
      <diagonal/>
    </border>
    <border>
      <left style="hair">
        <color indexed="63"/>
      </left>
      <right style="medium">
        <color indexed="64"/>
      </right>
      <top/>
      <bottom style="hair">
        <color indexed="63"/>
      </bottom>
      <diagonal/>
    </border>
    <border>
      <left style="medium">
        <color indexed="64"/>
      </left>
      <right style="hair">
        <color indexed="63"/>
      </right>
      <top style="medium">
        <color indexed="64"/>
      </top>
      <bottom style="medium">
        <color indexed="64"/>
      </bottom>
      <diagonal/>
    </border>
    <border>
      <left style="hair">
        <color indexed="63"/>
      </left>
      <right style="hair">
        <color indexed="63"/>
      </right>
      <top style="medium">
        <color indexed="64"/>
      </top>
      <bottom style="medium">
        <color indexed="64"/>
      </bottom>
      <diagonal/>
    </border>
    <border>
      <left style="hair">
        <color indexed="63"/>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bottom style="medium">
        <color indexed="64"/>
      </bottom>
      <diagonal/>
    </border>
    <border>
      <left/>
      <right style="hair">
        <color auto="1"/>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9">
    <xf numFmtId="0" fontId="0"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9" fontId="9" fillId="0" borderId="0" applyFont="0" applyFill="0" applyBorder="0" applyAlignment="0" applyProtection="0"/>
    <xf numFmtId="0" fontId="9" fillId="0" borderId="0"/>
    <xf numFmtId="169" fontId="9" fillId="0" borderId="0" applyFill="0" applyBorder="0" applyAlignment="0" applyProtection="0"/>
    <xf numFmtId="0" fontId="32" fillId="0" borderId="0" applyNumberFormat="0" applyFill="0" applyBorder="0" applyAlignment="0" applyProtection="0"/>
    <xf numFmtId="44" fontId="1" fillId="0" borderId="0" applyFont="0" applyFill="0" applyBorder="0" applyAlignment="0" applyProtection="0"/>
  </cellStyleXfs>
  <cellXfs count="716">
    <xf numFmtId="0" fontId="0" fillId="0" borderId="0" xfId="0"/>
    <xf numFmtId="0" fontId="0" fillId="0" borderId="0" xfId="0" applyAlignment="1">
      <alignment horizontal="right"/>
    </xf>
    <xf numFmtId="0" fontId="0" fillId="0" borderId="1" xfId="0" applyBorder="1" applyAlignment="1">
      <alignment horizontal="center"/>
    </xf>
    <xf numFmtId="0" fontId="2" fillId="0" borderId="0" xfId="0" applyFont="1"/>
    <xf numFmtId="0" fontId="0" fillId="0" borderId="0" xfId="0" applyAlignment="1">
      <alignment horizontal="left"/>
    </xf>
    <xf numFmtId="0" fontId="7" fillId="0" borderId="0" xfId="0" applyFont="1"/>
    <xf numFmtId="0" fontId="8" fillId="0" borderId="0" xfId="0" applyFont="1"/>
    <xf numFmtId="0" fontId="0" fillId="0" borderId="0" xfId="0" applyBorder="1"/>
    <xf numFmtId="0" fontId="0" fillId="0" borderId="0" xfId="0" applyBorder="1" applyAlignment="1">
      <alignment horizontal="center"/>
    </xf>
    <xf numFmtId="0" fontId="8" fillId="0" borderId="0" xfId="0" applyFont="1" applyBorder="1"/>
    <xf numFmtId="0" fontId="0" fillId="0" borderId="0" xfId="0" applyBorder="1" applyAlignment="1">
      <alignment horizontal="left"/>
    </xf>
    <xf numFmtId="0" fontId="6" fillId="5" borderId="1" xfId="0" applyFont="1" applyFill="1" applyBorder="1" applyAlignment="1">
      <alignment horizontal="right"/>
    </xf>
    <xf numFmtId="0" fontId="0" fillId="0" borderId="0" xfId="0" applyFont="1"/>
    <xf numFmtId="0" fontId="9" fillId="0" borderId="0" xfId="2"/>
    <xf numFmtId="0" fontId="4" fillId="12" borderId="0" xfId="0" applyFont="1" applyFill="1" applyProtection="1"/>
    <xf numFmtId="0" fontId="0" fillId="12" borderId="0" xfId="0" applyFill="1" applyProtection="1"/>
    <xf numFmtId="0" fontId="0" fillId="0" borderId="1" xfId="0" applyBorder="1"/>
    <xf numFmtId="0" fontId="0" fillId="0" borderId="0" xfId="0"/>
    <xf numFmtId="0" fontId="7" fillId="0" borderId="0" xfId="0" applyFont="1" applyAlignment="1">
      <alignment horizontal="left"/>
    </xf>
    <xf numFmtId="0" fontId="0" fillId="0" borderId="0" xfId="0" applyBorder="1" applyAlignment="1">
      <alignment horizontal="right"/>
    </xf>
    <xf numFmtId="0" fontId="2" fillId="11" borderId="19" xfId="0" applyFont="1" applyFill="1" applyBorder="1"/>
    <xf numFmtId="0" fontId="2" fillId="11" borderId="13" xfId="0" applyFont="1" applyFill="1" applyBorder="1"/>
    <xf numFmtId="0" fontId="0" fillId="8" borderId="4" xfId="0" applyFill="1" applyBorder="1"/>
    <xf numFmtId="0" fontId="0" fillId="8" borderId="5" xfId="0" applyFill="1" applyBorder="1"/>
    <xf numFmtId="0" fontId="0" fillId="8" borderId="0" xfId="0" applyFill="1" applyBorder="1" applyAlignment="1">
      <alignment horizontal="left"/>
    </xf>
    <xf numFmtId="0" fontId="8" fillId="8" borderId="0" xfId="0" applyFont="1" applyFill="1" applyBorder="1"/>
    <xf numFmtId="0" fontId="0" fillId="8" borderId="0" xfId="0" applyFill="1" applyBorder="1"/>
    <xf numFmtId="0" fontId="0" fillId="8" borderId="7" xfId="0" applyFill="1" applyBorder="1"/>
    <xf numFmtId="0" fontId="0" fillId="8" borderId="9" xfId="0" applyFill="1" applyBorder="1" applyAlignment="1">
      <alignment horizontal="left"/>
    </xf>
    <xf numFmtId="0" fontId="8" fillId="8" borderId="9" xfId="0" applyFont="1" applyFill="1" applyBorder="1"/>
    <xf numFmtId="0" fontId="0" fillId="8" borderId="9" xfId="0" applyFill="1" applyBorder="1"/>
    <xf numFmtId="0" fontId="0" fillId="8" borderId="10" xfId="0" applyFill="1" applyBorder="1"/>
    <xf numFmtId="0" fontId="0" fillId="8" borderId="6" xfId="0" applyFill="1" applyBorder="1"/>
    <xf numFmtId="0" fontId="0" fillId="8" borderId="8" xfId="0" applyFill="1" applyBorder="1" applyAlignment="1">
      <alignment horizontal="right"/>
    </xf>
    <xf numFmtId="0" fontId="0" fillId="8" borderId="0" xfId="0" applyFill="1" applyBorder="1" applyAlignment="1">
      <alignment horizontal="right"/>
    </xf>
    <xf numFmtId="0" fontId="2" fillId="11" borderId="20" xfId="0" applyFont="1" applyFill="1" applyBorder="1"/>
    <xf numFmtId="0" fontId="8" fillId="11" borderId="13" xfId="0" applyFont="1" applyFill="1" applyBorder="1"/>
    <xf numFmtId="0" fontId="0" fillId="0" borderId="0" xfId="0" applyAlignment="1">
      <alignment vertical="top"/>
    </xf>
    <xf numFmtId="0" fontId="0" fillId="6" borderId="0" xfId="0" applyFill="1"/>
    <xf numFmtId="0" fontId="0" fillId="6" borderId="0" xfId="0" applyFill="1" applyAlignment="1">
      <alignment horizontal="right"/>
    </xf>
    <xf numFmtId="0" fontId="0" fillId="6" borderId="0" xfId="0" applyFill="1" applyAlignment="1">
      <alignment horizontal="left"/>
    </xf>
    <xf numFmtId="0" fontId="8" fillId="6" borderId="0" xfId="0" applyFont="1" applyFill="1"/>
    <xf numFmtId="0" fontId="0" fillId="5" borderId="1" xfId="0" applyFill="1" applyBorder="1"/>
    <xf numFmtId="0" fontId="2" fillId="8" borderId="3" xfId="0" applyFont="1" applyFill="1" applyBorder="1"/>
    <xf numFmtId="0" fontId="2" fillId="8" borderId="6" xfId="0" applyFont="1" applyFill="1" applyBorder="1"/>
    <xf numFmtId="0" fontId="2" fillId="8" borderId="4" xfId="0" applyFont="1" applyFill="1" applyBorder="1" applyAlignment="1">
      <alignment horizontal="center"/>
    </xf>
    <xf numFmtId="0" fontId="2" fillId="8" borderId="5" xfId="0" applyFont="1" applyFill="1" applyBorder="1"/>
    <xf numFmtId="0" fontId="2" fillId="8" borderId="7" xfId="0" applyFont="1" applyFill="1" applyBorder="1"/>
    <xf numFmtId="0" fontId="2" fillId="8" borderId="0" xfId="0" applyFont="1" applyFill="1" applyBorder="1"/>
    <xf numFmtId="0" fontId="2" fillId="8" borderId="0" xfId="0" applyFont="1" applyFill="1" applyBorder="1" applyAlignment="1">
      <alignment horizontal="center"/>
    </xf>
    <xf numFmtId="0" fontId="2" fillId="8" borderId="4" xfId="0" applyFont="1" applyFill="1" applyBorder="1"/>
    <xf numFmtId="0" fontId="0" fillId="8" borderId="6" xfId="0" applyFill="1" applyBorder="1" applyAlignment="1">
      <alignment horizontal="right"/>
    </xf>
    <xf numFmtId="0" fontId="0" fillId="0" borderId="0" xfId="0" applyAlignment="1">
      <alignment horizontal="right" vertical="top"/>
    </xf>
    <xf numFmtId="0" fontId="9" fillId="8" borderId="6" xfId="2" applyFill="1" applyBorder="1"/>
    <xf numFmtId="0" fontId="9" fillId="8" borderId="0" xfId="2" applyFill="1" applyBorder="1"/>
    <xf numFmtId="0" fontId="9" fillId="8" borderId="7" xfId="2" applyFill="1" applyBorder="1"/>
    <xf numFmtId="0" fontId="9" fillId="8" borderId="0" xfId="2" applyFont="1" applyFill="1" applyBorder="1" applyAlignment="1">
      <alignment horizontal="center" vertical="center" wrapText="1"/>
    </xf>
    <xf numFmtId="0" fontId="0" fillId="8" borderId="0" xfId="0" applyFill="1" applyBorder="1" applyAlignment="1">
      <alignment horizontal="center"/>
    </xf>
    <xf numFmtId="0" fontId="14" fillId="15" borderId="26" xfId="5" applyFont="1" applyFill="1" applyBorder="1" applyAlignment="1">
      <alignment horizontal="right" vertical="center" wrapText="1"/>
    </xf>
    <xf numFmtId="0" fontId="14" fillId="15" borderId="25" xfId="5" applyFont="1" applyFill="1" applyBorder="1" applyAlignment="1">
      <alignment horizontal="right" vertical="center" wrapText="1"/>
    </xf>
    <xf numFmtId="0" fontId="14" fillId="14" borderId="18" xfId="5" applyFont="1" applyFill="1" applyBorder="1" applyAlignment="1">
      <alignment horizontal="center" vertical="center" wrapText="1"/>
    </xf>
    <xf numFmtId="0" fontId="9" fillId="8" borderId="29" xfId="2" applyFont="1" applyFill="1" applyBorder="1" applyAlignment="1">
      <alignment horizontal="center" vertical="center" wrapText="1"/>
    </xf>
    <xf numFmtId="0" fontId="9" fillId="8" borderId="24" xfId="2" applyFont="1" applyFill="1" applyBorder="1" applyAlignment="1">
      <alignment horizontal="center" vertical="center" wrapText="1"/>
    </xf>
    <xf numFmtId="0" fontId="9" fillId="0" borderId="0" xfId="2" applyBorder="1"/>
    <xf numFmtId="0" fontId="10" fillId="0" borderId="6" xfId="5" applyFont="1" applyBorder="1" applyAlignment="1">
      <alignment wrapText="1"/>
    </xf>
    <xf numFmtId="0" fontId="0" fillId="0" borderId="0" xfId="0" applyBorder="1" applyAlignment="1">
      <alignment vertical="center"/>
    </xf>
    <xf numFmtId="2" fontId="8" fillId="8" borderId="0" xfId="1" applyNumberFormat="1" applyFont="1" applyFill="1" applyBorder="1"/>
    <xf numFmtId="0" fontId="10" fillId="8" borderId="0" xfId="5" applyFont="1" applyFill="1" applyBorder="1" applyAlignment="1">
      <alignment wrapText="1"/>
    </xf>
    <xf numFmtId="0" fontId="5" fillId="8" borderId="0" xfId="0" applyFont="1" applyFill="1" applyBorder="1"/>
    <xf numFmtId="0" fontId="0" fillId="8" borderId="8" xfId="0" applyFill="1" applyBorder="1" applyAlignment="1">
      <alignment vertical="center"/>
    </xf>
    <xf numFmtId="0" fontId="0" fillId="8" borderId="0" xfId="0" applyFont="1" applyFill="1" applyBorder="1"/>
    <xf numFmtId="0" fontId="0" fillId="8" borderId="7" xfId="0" applyFont="1" applyFill="1" applyBorder="1"/>
    <xf numFmtId="0" fontId="0" fillId="8" borderId="9" xfId="0" applyFill="1" applyBorder="1" applyAlignment="1">
      <alignment vertical="center"/>
    </xf>
    <xf numFmtId="0" fontId="17" fillId="8" borderId="0" xfId="0" applyFont="1" applyFill="1" applyBorder="1"/>
    <xf numFmtId="0" fontId="4" fillId="8" borderId="0" xfId="5" applyFont="1" applyFill="1" applyBorder="1" applyAlignment="1">
      <alignment horizontal="center" vertical="center" wrapText="1"/>
    </xf>
    <xf numFmtId="0" fontId="10" fillId="8" borderId="4" xfId="5" applyFont="1" applyFill="1" applyBorder="1" applyAlignment="1">
      <alignment wrapText="1"/>
    </xf>
    <xf numFmtId="0" fontId="11" fillId="8" borderId="0" xfId="5" applyFont="1" applyFill="1" applyBorder="1" applyAlignment="1">
      <alignment horizontal="center" vertical="top" wrapText="1"/>
    </xf>
    <xf numFmtId="0" fontId="10" fillId="8" borderId="0" xfId="2" applyFont="1" applyFill="1" applyBorder="1"/>
    <xf numFmtId="0" fontId="8" fillId="8" borderId="7" xfId="0" applyFont="1" applyFill="1" applyBorder="1"/>
    <xf numFmtId="0" fontId="0" fillId="8" borderId="10" xfId="0" applyFill="1" applyBorder="1" applyAlignment="1">
      <alignment vertical="center"/>
    </xf>
    <xf numFmtId="0" fontId="14" fillId="14" borderId="12" xfId="5" applyFont="1" applyFill="1" applyBorder="1" applyAlignment="1">
      <alignment horizontal="center" vertical="center" wrapText="1"/>
    </xf>
    <xf numFmtId="0" fontId="14" fillId="9" borderId="1" xfId="5" applyFont="1" applyFill="1" applyBorder="1" applyAlignment="1">
      <alignment horizontal="center" vertical="center" wrapText="1"/>
    </xf>
    <xf numFmtId="0" fontId="14" fillId="9" borderId="27" xfId="5" applyFont="1" applyFill="1" applyBorder="1" applyAlignment="1">
      <alignment horizontal="center" vertical="center" wrapText="1"/>
    </xf>
    <xf numFmtId="0" fontId="16" fillId="15" borderId="32" xfId="0" applyFont="1" applyFill="1" applyBorder="1" applyAlignment="1">
      <alignment horizontal="center"/>
    </xf>
    <xf numFmtId="0" fontId="14" fillId="14" borderId="23" xfId="5" applyFont="1" applyFill="1" applyBorder="1" applyAlignment="1">
      <alignment vertical="center" wrapText="1"/>
    </xf>
    <xf numFmtId="0" fontId="15" fillId="10" borderId="1" xfId="5" applyFont="1" applyFill="1" applyBorder="1" applyAlignment="1">
      <alignment horizontal="center" vertical="center" wrapText="1"/>
    </xf>
    <xf numFmtId="0" fontId="14" fillId="3" borderId="27" xfId="5" applyFont="1" applyFill="1" applyBorder="1" applyAlignment="1">
      <alignment horizontal="center" vertical="center" wrapText="1"/>
    </xf>
    <xf numFmtId="0" fontId="14" fillId="3" borderId="1" xfId="5" applyFont="1" applyFill="1" applyBorder="1" applyAlignment="1">
      <alignment horizontal="center" vertical="center" wrapText="1"/>
    </xf>
    <xf numFmtId="0" fontId="4" fillId="12" borderId="0" xfId="0" applyFont="1" applyFill="1" applyAlignment="1" applyProtection="1">
      <alignment horizontal="left" wrapText="1"/>
    </xf>
    <xf numFmtId="0" fontId="2" fillId="11" borderId="1" xfId="0" applyFont="1" applyFill="1" applyBorder="1" applyAlignment="1">
      <alignment horizontal="center"/>
    </xf>
    <xf numFmtId="0" fontId="4" fillId="17" borderId="0" xfId="0" applyFont="1" applyFill="1" applyBorder="1" applyAlignment="1" applyProtection="1">
      <alignment wrapText="1"/>
    </xf>
    <xf numFmtId="0" fontId="2" fillId="8" borderId="6" xfId="0" applyFont="1" applyFill="1" applyBorder="1" applyAlignment="1">
      <alignment horizontal="left"/>
    </xf>
    <xf numFmtId="0" fontId="4" fillId="17" borderId="0" xfId="0" applyFont="1" applyFill="1" applyBorder="1" applyProtection="1"/>
    <xf numFmtId="0" fontId="4" fillId="17" borderId="7" xfId="0" applyFont="1" applyFill="1" applyBorder="1" applyProtection="1"/>
    <xf numFmtId="0" fontId="4" fillId="17" borderId="6" xfId="0" applyFont="1" applyFill="1" applyBorder="1" applyAlignment="1" applyProtection="1">
      <alignment wrapText="1"/>
    </xf>
    <xf numFmtId="0" fontId="4" fillId="17" borderId="6" xfId="0" applyFont="1" applyFill="1" applyBorder="1" applyProtection="1"/>
    <xf numFmtId="1" fontId="9" fillId="17" borderId="0" xfId="0" applyNumberFormat="1" applyFont="1" applyFill="1" applyBorder="1" applyAlignment="1" applyProtection="1">
      <alignment wrapText="1"/>
    </xf>
    <xf numFmtId="0" fontId="0" fillId="17" borderId="0" xfId="0" applyFill="1" applyBorder="1" applyProtection="1"/>
    <xf numFmtId="0" fontId="0" fillId="17" borderId="7" xfId="0" applyFill="1" applyBorder="1" applyProtection="1"/>
    <xf numFmtId="0" fontId="0" fillId="17" borderId="6" xfId="0" applyFill="1" applyBorder="1" applyProtection="1"/>
    <xf numFmtId="0" fontId="0" fillId="8" borderId="6" xfId="0" applyFill="1" applyBorder="1" applyAlignment="1">
      <alignment vertical="top"/>
    </xf>
    <xf numFmtId="9" fontId="0" fillId="17" borderId="0" xfId="0" applyNumberFormat="1" applyFill="1" applyBorder="1" applyProtection="1"/>
    <xf numFmtId="0" fontId="0" fillId="8" borderId="0" xfId="0" applyFill="1" applyBorder="1" applyAlignment="1">
      <alignment vertical="top"/>
    </xf>
    <xf numFmtId="0" fontId="19" fillId="8" borderId="0" xfId="5" applyFont="1" applyFill="1" applyBorder="1" applyAlignment="1">
      <alignment wrapText="1"/>
    </xf>
    <xf numFmtId="168" fontId="19" fillId="8" borderId="0" xfId="5" applyNumberFormat="1" applyFont="1" applyFill="1" applyBorder="1" applyAlignment="1">
      <alignment wrapText="1"/>
    </xf>
    <xf numFmtId="0" fontId="20" fillId="8" borderId="0" xfId="0" applyFont="1" applyFill="1" applyBorder="1" applyAlignment="1">
      <alignment horizontal="center"/>
    </xf>
    <xf numFmtId="0" fontId="9" fillId="15" borderId="8" xfId="2" applyFill="1" applyBorder="1"/>
    <xf numFmtId="0" fontId="9" fillId="15" borderId="9" xfId="2" applyFill="1" applyBorder="1"/>
    <xf numFmtId="0" fontId="9" fillId="15" borderId="10" xfId="2" applyFill="1" applyBorder="1"/>
    <xf numFmtId="0" fontId="9" fillId="14" borderId="7" xfId="2" applyFill="1" applyBorder="1"/>
    <xf numFmtId="0" fontId="8" fillId="14" borderId="7" xfId="0" applyFont="1" applyFill="1" applyBorder="1"/>
    <xf numFmtId="0" fontId="14" fillId="3" borderId="11" xfId="5" applyFont="1" applyFill="1" applyBorder="1" applyAlignment="1">
      <alignment horizontal="center" vertical="center" wrapText="1"/>
    </xf>
    <xf numFmtId="0" fontId="15" fillId="10" borderId="16" xfId="5" applyFont="1" applyFill="1" applyBorder="1" applyAlignment="1">
      <alignment horizontal="center" vertical="center" wrapText="1"/>
    </xf>
    <xf numFmtId="0" fontId="15" fillId="16" borderId="16" xfId="5" applyFont="1" applyFill="1" applyBorder="1" applyAlignment="1">
      <alignment horizontal="center" vertical="center" wrapText="1"/>
    </xf>
    <xf numFmtId="0" fontId="15" fillId="16" borderId="17" xfId="5" applyFont="1" applyFill="1" applyBorder="1" applyAlignment="1">
      <alignment horizontal="center" vertical="center" wrapText="1"/>
    </xf>
    <xf numFmtId="0" fontId="15" fillId="16" borderId="28" xfId="5" applyFont="1" applyFill="1" applyBorder="1" applyAlignment="1">
      <alignment horizontal="center" vertical="center" wrapText="1"/>
    </xf>
    <xf numFmtId="0" fontId="15" fillId="10" borderId="28" xfId="5" applyFont="1" applyFill="1" applyBorder="1" applyAlignment="1">
      <alignment horizontal="center" vertical="center" wrapText="1"/>
    </xf>
    <xf numFmtId="0" fontId="14" fillId="9" borderId="12" xfId="5" applyFont="1" applyFill="1" applyBorder="1" applyAlignment="1">
      <alignment horizontal="center" vertical="center" wrapText="1"/>
    </xf>
    <xf numFmtId="0" fontId="14" fillId="9" borderId="18" xfId="5" applyFont="1" applyFill="1" applyBorder="1" applyAlignment="1">
      <alignment horizontal="center" vertical="center" wrapText="1"/>
    </xf>
    <xf numFmtId="0" fontId="14" fillId="3" borderId="18" xfId="5" applyFont="1" applyFill="1" applyBorder="1" applyAlignment="1">
      <alignment horizontal="center" vertical="center" wrapText="1"/>
    </xf>
    <xf numFmtId="0" fontId="15" fillId="10" borderId="23" xfId="5" applyFont="1" applyFill="1" applyBorder="1" applyAlignment="1">
      <alignment horizontal="center" vertical="center" wrapText="1"/>
    </xf>
    <xf numFmtId="0" fontId="0" fillId="8" borderId="0" xfId="0" applyFill="1"/>
    <xf numFmtId="0" fontId="4" fillId="5" borderId="1" xfId="2" applyFont="1" applyFill="1" applyBorder="1" applyAlignment="1">
      <alignment horizontal="center" vertical="center" wrapText="1"/>
    </xf>
    <xf numFmtId="0" fontId="8" fillId="8" borderId="9" xfId="0" applyFont="1" applyFill="1" applyBorder="1" applyAlignment="1">
      <alignment horizontal="right" vertical="center"/>
    </xf>
    <xf numFmtId="0" fontId="6" fillId="8" borderId="0" xfId="0" applyFont="1" applyFill="1" applyBorder="1" applyAlignment="1">
      <alignment horizontal="left"/>
    </xf>
    <xf numFmtId="0" fontId="6" fillId="8" borderId="0" xfId="0" applyFont="1" applyFill="1" applyBorder="1" applyAlignment="1">
      <alignment vertical="top"/>
    </xf>
    <xf numFmtId="0" fontId="21" fillId="8" borderId="0" xfId="0" applyFont="1" applyFill="1" applyBorder="1" applyAlignment="1">
      <alignment horizontal="center"/>
    </xf>
    <xf numFmtId="0" fontId="6" fillId="17" borderId="0" xfId="0" applyFont="1" applyFill="1" applyBorder="1" applyAlignment="1" applyProtection="1">
      <alignment horizontal="right"/>
    </xf>
    <xf numFmtId="0" fontId="4" fillId="17" borderId="0" xfId="0" applyFont="1" applyFill="1" applyBorder="1" applyAlignment="1" applyProtection="1">
      <alignment horizontal="center" wrapText="1"/>
    </xf>
    <xf numFmtId="0" fontId="0" fillId="8" borderId="1" xfId="0" applyFill="1" applyBorder="1" applyAlignment="1">
      <alignment horizontal="center"/>
    </xf>
    <xf numFmtId="0" fontId="4" fillId="12" borderId="0" xfId="0" applyFont="1" applyFill="1" applyAlignment="1" applyProtection="1">
      <alignment wrapText="1"/>
    </xf>
    <xf numFmtId="0" fontId="0" fillId="0" borderId="0" xfId="0"/>
    <xf numFmtId="0" fontId="0" fillId="8" borderId="9" xfId="0" applyFont="1" applyFill="1" applyBorder="1"/>
    <xf numFmtId="0" fontId="0" fillId="8" borderId="10" xfId="0" applyFont="1" applyFill="1" applyBorder="1"/>
    <xf numFmtId="0" fontId="10" fillId="8" borderId="0" xfId="5" applyFont="1" applyFill="1" applyBorder="1" applyAlignment="1">
      <alignment horizontal="center" vertical="center" wrapText="1"/>
    </xf>
    <xf numFmtId="0" fontId="23" fillId="8" borderId="0" xfId="5" applyFont="1" applyFill="1" applyBorder="1" applyAlignment="1">
      <alignment horizontal="center" wrapText="1"/>
    </xf>
    <xf numFmtId="0" fontId="6" fillId="19" borderId="1" xfId="0" applyFont="1" applyFill="1" applyBorder="1"/>
    <xf numFmtId="0" fontId="6" fillId="18" borderId="1" xfId="0" applyFont="1" applyFill="1" applyBorder="1"/>
    <xf numFmtId="0" fontId="6" fillId="3" borderId="1" xfId="0" applyFont="1" applyFill="1" applyBorder="1"/>
    <xf numFmtId="0" fontId="24" fillId="10" borderId="1" xfId="0" applyFont="1" applyFill="1" applyBorder="1"/>
    <xf numFmtId="0" fontId="24" fillId="16" borderId="1" xfId="0" applyFont="1" applyFill="1" applyBorder="1"/>
    <xf numFmtId="0" fontId="0" fillId="7" borderId="1" xfId="0" applyFill="1" applyBorder="1"/>
    <xf numFmtId="0" fontId="8" fillId="8" borderId="9" xfId="0" applyFont="1" applyFill="1" applyBorder="1" applyAlignment="1">
      <alignment horizontal="left" vertical="center"/>
    </xf>
    <xf numFmtId="171" fontId="8" fillId="8" borderId="0" xfId="1" applyNumberFormat="1" applyFont="1" applyFill="1" applyBorder="1" applyAlignment="1">
      <alignment horizontal="right"/>
    </xf>
    <xf numFmtId="9" fontId="13" fillId="8" borderId="1" xfId="1" applyFont="1" applyFill="1" applyBorder="1" applyAlignment="1">
      <alignment horizontal="left"/>
    </xf>
    <xf numFmtId="0" fontId="4" fillId="8" borderId="26" xfId="5" applyFont="1" applyFill="1" applyBorder="1" applyAlignment="1">
      <alignment horizontal="center" vertical="center" wrapText="1"/>
    </xf>
    <xf numFmtId="0" fontId="0" fillId="8" borderId="30" xfId="0" applyFill="1" applyBorder="1" applyAlignment="1">
      <alignment horizontal="center"/>
    </xf>
    <xf numFmtId="0" fontId="4" fillId="8" borderId="25" xfId="5" applyFont="1" applyFill="1" applyBorder="1" applyAlignment="1">
      <alignment horizontal="center" vertical="center" wrapText="1"/>
    </xf>
    <xf numFmtId="0" fontId="0" fillId="8" borderId="31" xfId="0" applyFill="1" applyBorder="1" applyAlignment="1">
      <alignment horizontal="center"/>
    </xf>
    <xf numFmtId="0" fontId="9" fillId="8" borderId="11" xfId="2" applyFill="1" applyBorder="1" applyAlignment="1">
      <alignment horizontal="center" vertical="center"/>
    </xf>
    <xf numFmtId="0" fontId="9" fillId="8" borderId="16" xfId="2" applyFill="1" applyBorder="1" applyAlignment="1">
      <alignment horizontal="center" vertical="center"/>
    </xf>
    <xf numFmtId="0" fontId="9" fillId="8" borderId="17" xfId="2" applyFill="1" applyBorder="1" applyAlignment="1">
      <alignment horizontal="center" vertical="center"/>
    </xf>
    <xf numFmtId="0" fontId="10" fillId="8" borderId="27" xfId="2" applyFont="1" applyFill="1" applyBorder="1" applyAlignment="1">
      <alignment horizontal="center" vertical="center"/>
    </xf>
    <xf numFmtId="0" fontId="10" fillId="8" borderId="1" xfId="2" applyFont="1" applyFill="1" applyBorder="1" applyAlignment="1">
      <alignment horizontal="center" vertical="center"/>
    </xf>
    <xf numFmtId="0" fontId="8" fillId="8" borderId="1" xfId="0" applyFont="1" applyFill="1" applyBorder="1" applyAlignment="1">
      <alignment horizontal="center" vertical="center"/>
    </xf>
    <xf numFmtId="0" fontId="9" fillId="8" borderId="1" xfId="2" applyFill="1" applyBorder="1" applyAlignment="1">
      <alignment horizontal="center" vertical="center"/>
    </xf>
    <xf numFmtId="0" fontId="9" fillId="8" borderId="1" xfId="2" applyFill="1" applyBorder="1" applyAlignment="1">
      <alignment vertical="center"/>
    </xf>
    <xf numFmtId="0" fontId="9" fillId="8" borderId="28" xfId="2" applyFill="1" applyBorder="1" applyAlignment="1">
      <alignment vertical="center"/>
    </xf>
    <xf numFmtId="0" fontId="8" fillId="8" borderId="28" xfId="0" applyFont="1" applyFill="1" applyBorder="1" applyAlignment="1">
      <alignment horizontal="center" vertical="center"/>
    </xf>
    <xf numFmtId="0" fontId="10" fillId="8" borderId="12" xfId="2" applyFont="1" applyFill="1" applyBorder="1" applyAlignment="1">
      <alignment vertical="center"/>
    </xf>
    <xf numFmtId="0" fontId="10" fillId="8" borderId="18" xfId="2" applyFont="1" applyFill="1" applyBorder="1" applyAlignment="1">
      <alignment vertical="center"/>
    </xf>
    <xf numFmtId="0" fontId="8" fillId="8" borderId="18" xfId="0" applyFont="1" applyFill="1" applyBorder="1" applyAlignment="1">
      <alignment vertical="center"/>
    </xf>
    <xf numFmtId="0" fontId="9" fillId="8" borderId="18" xfId="2" applyFill="1" applyBorder="1" applyAlignment="1">
      <alignment vertical="center"/>
    </xf>
    <xf numFmtId="0" fontId="9" fillId="8" borderId="23" xfId="2" applyFill="1" applyBorder="1" applyAlignment="1">
      <alignment vertical="center"/>
    </xf>
    <xf numFmtId="0" fontId="16" fillId="5" borderId="1" xfId="0" applyFont="1" applyFill="1" applyBorder="1" applyAlignment="1">
      <alignment horizontal="center"/>
    </xf>
    <xf numFmtId="0" fontId="0" fillId="17" borderId="9" xfId="0" applyFill="1" applyBorder="1" applyProtection="1"/>
    <xf numFmtId="0" fontId="0" fillId="17" borderId="10" xfId="0" applyFill="1" applyBorder="1" applyProtection="1"/>
    <xf numFmtId="0" fontId="25" fillId="8" borderId="0" xfId="0" applyFont="1" applyFill="1" applyBorder="1" applyAlignment="1" applyProtection="1">
      <alignment horizontal="center" vertical="center"/>
    </xf>
    <xf numFmtId="10" fontId="8" fillId="8" borderId="0" xfId="1" applyNumberFormat="1" applyFont="1" applyFill="1" applyBorder="1" applyAlignment="1">
      <alignment horizontal="right"/>
    </xf>
    <xf numFmtId="10" fontId="8" fillId="8" borderId="0" xfId="1" applyNumberFormat="1" applyFont="1" applyFill="1" applyBorder="1" applyAlignment="1">
      <alignment horizontal="center"/>
    </xf>
    <xf numFmtId="173" fontId="26" fillId="0" borderId="0" xfId="0" applyNumberFormat="1" applyFont="1" applyAlignment="1">
      <alignment horizontal="right" vertical="top"/>
    </xf>
    <xf numFmtId="0" fontId="0" fillId="8" borderId="8" xfId="0" applyFill="1" applyBorder="1"/>
    <xf numFmtId="10" fontId="8" fillId="8" borderId="9" xfId="1" applyNumberFormat="1" applyFont="1" applyFill="1" applyBorder="1" applyAlignment="1">
      <alignment horizontal="right"/>
    </xf>
    <xf numFmtId="0" fontId="25" fillId="8" borderId="9" xfId="0" applyFont="1" applyFill="1" applyBorder="1" applyAlignment="1" applyProtection="1">
      <alignment horizontal="center" vertical="center"/>
    </xf>
    <xf numFmtId="10" fontId="8" fillId="8" borderId="4" xfId="1" applyNumberFormat="1" applyFont="1" applyFill="1" applyBorder="1" applyAlignment="1">
      <alignment horizontal="right"/>
    </xf>
    <xf numFmtId="0" fontId="25" fillId="8" borderId="4" xfId="0" applyFont="1" applyFill="1" applyBorder="1" applyAlignment="1" applyProtection="1">
      <alignment horizontal="center" vertical="center"/>
    </xf>
    <xf numFmtId="0" fontId="12" fillId="6" borderId="33" xfId="0" applyFont="1" applyFill="1" applyBorder="1"/>
    <xf numFmtId="0" fontId="12" fillId="6" borderId="35" xfId="0" applyFont="1" applyFill="1" applyBorder="1"/>
    <xf numFmtId="0" fontId="0" fillId="5" borderId="33" xfId="0" applyFill="1" applyBorder="1" applyAlignment="1">
      <alignment horizontal="right"/>
    </xf>
    <xf numFmtId="0" fontId="25" fillId="8" borderId="36" xfId="0" applyFont="1" applyFill="1" applyBorder="1" applyAlignment="1" applyProtection="1">
      <alignment horizontal="center" vertical="center"/>
    </xf>
    <xf numFmtId="0" fontId="25" fillId="8" borderId="37" xfId="0" applyFont="1" applyFill="1" applyBorder="1" applyAlignment="1" applyProtection="1">
      <alignment horizontal="center" vertical="center"/>
    </xf>
    <xf numFmtId="0" fontId="25" fillId="8" borderId="38" xfId="0" applyFont="1" applyFill="1" applyBorder="1" applyAlignment="1" applyProtection="1">
      <alignment horizontal="center" vertical="center"/>
    </xf>
    <xf numFmtId="0" fontId="0" fillId="5" borderId="35" xfId="0" applyFill="1" applyBorder="1" applyAlignment="1">
      <alignment horizontal="right"/>
    </xf>
    <xf numFmtId="10" fontId="8" fillId="8" borderId="41" xfId="1" applyNumberFormat="1" applyFont="1" applyFill="1" applyBorder="1" applyAlignment="1">
      <alignment horizontal="center"/>
    </xf>
    <xf numFmtId="10" fontId="8" fillId="8" borderId="42" xfId="1" applyNumberFormat="1" applyFont="1" applyFill="1" applyBorder="1" applyAlignment="1">
      <alignment horizontal="center"/>
    </xf>
    <xf numFmtId="10" fontId="16" fillId="5" borderId="43" xfId="1" applyNumberFormat="1" applyFont="1" applyFill="1" applyBorder="1" applyAlignment="1">
      <alignment horizontal="center"/>
    </xf>
    <xf numFmtId="0" fontId="0" fillId="5" borderId="34" xfId="0" applyFill="1" applyBorder="1" applyAlignment="1">
      <alignment horizontal="right"/>
    </xf>
    <xf numFmtId="10" fontId="16" fillId="5" borderId="44" xfId="1" applyNumberFormat="1" applyFont="1" applyFill="1" applyBorder="1" applyAlignment="1">
      <alignment horizontal="center"/>
    </xf>
    <xf numFmtId="0" fontId="27" fillId="11" borderId="11" xfId="0" applyFont="1" applyFill="1" applyBorder="1" applyAlignment="1">
      <alignment horizontal="right"/>
    </xf>
    <xf numFmtId="174" fontId="8" fillId="8" borderId="41" xfId="1" applyNumberFormat="1" applyFont="1" applyFill="1" applyBorder="1" applyAlignment="1">
      <alignment horizontal="center"/>
    </xf>
    <xf numFmtId="174" fontId="16" fillId="5" borderId="43" xfId="1" applyNumberFormat="1" applyFont="1" applyFill="1" applyBorder="1" applyAlignment="1">
      <alignment horizontal="center"/>
    </xf>
    <xf numFmtId="174" fontId="16" fillId="5" borderId="44" xfId="1" applyNumberFormat="1" applyFont="1" applyFill="1" applyBorder="1" applyAlignment="1">
      <alignment horizontal="center"/>
    </xf>
    <xf numFmtId="10" fontId="8" fillId="6" borderId="39" xfId="1" applyNumberFormat="1" applyFont="1" applyFill="1" applyBorder="1" applyAlignment="1">
      <alignment horizontal="center"/>
    </xf>
    <xf numFmtId="10" fontId="8" fillId="6" borderId="40" xfId="1" applyNumberFormat="1" applyFont="1" applyFill="1" applyBorder="1" applyAlignment="1">
      <alignment horizontal="center"/>
    </xf>
    <xf numFmtId="2" fontId="8" fillId="8" borderId="41" xfId="1" applyNumberFormat="1" applyFont="1" applyFill="1" applyBorder="1" applyAlignment="1">
      <alignment horizontal="center"/>
    </xf>
    <xf numFmtId="2" fontId="8" fillId="8" borderId="42" xfId="1" applyNumberFormat="1" applyFont="1" applyFill="1" applyBorder="1" applyAlignment="1">
      <alignment horizontal="center"/>
    </xf>
    <xf numFmtId="2" fontId="8" fillId="6" borderId="39" xfId="1" applyNumberFormat="1" applyFont="1" applyFill="1" applyBorder="1" applyAlignment="1">
      <alignment horizontal="center"/>
    </xf>
    <xf numFmtId="2" fontId="8" fillId="6" borderId="40" xfId="1" applyNumberFormat="1" applyFont="1" applyFill="1" applyBorder="1" applyAlignment="1">
      <alignment horizontal="center"/>
    </xf>
    <xf numFmtId="166" fontId="16" fillId="5" borderId="43" xfId="0" applyNumberFormat="1" applyFont="1" applyFill="1" applyBorder="1" applyAlignment="1">
      <alignment horizontal="center"/>
    </xf>
    <xf numFmtId="166" fontId="16" fillId="5" borderId="45" xfId="0" applyNumberFormat="1" applyFont="1" applyFill="1" applyBorder="1" applyAlignment="1">
      <alignment horizontal="center"/>
    </xf>
    <xf numFmtId="0" fontId="28" fillId="11" borderId="20" xfId="0" applyFont="1" applyFill="1" applyBorder="1"/>
    <xf numFmtId="2" fontId="8" fillId="8" borderId="46" xfId="1" applyNumberFormat="1" applyFont="1" applyFill="1" applyBorder="1" applyAlignment="1">
      <alignment horizontal="center"/>
    </xf>
    <xf numFmtId="0" fontId="27" fillId="11" borderId="48" xfId="0" applyFont="1" applyFill="1" applyBorder="1" applyAlignment="1">
      <alignment horizontal="right"/>
    </xf>
    <xf numFmtId="0" fontId="2" fillId="11" borderId="49" xfId="0" applyFont="1" applyFill="1" applyBorder="1" applyAlignment="1">
      <alignment horizontal="center"/>
    </xf>
    <xf numFmtId="0" fontId="2" fillId="11" borderId="50" xfId="0" applyFont="1" applyFill="1" applyBorder="1" applyAlignment="1">
      <alignment horizontal="center"/>
    </xf>
    <xf numFmtId="0" fontId="0" fillId="5" borderId="51" xfId="0" applyFill="1" applyBorder="1" applyAlignment="1">
      <alignment horizontal="right"/>
    </xf>
    <xf numFmtId="0" fontId="12" fillId="6" borderId="52" xfId="0" applyFont="1" applyFill="1" applyBorder="1"/>
    <xf numFmtId="0" fontId="0" fillId="5" borderId="53" xfId="0" applyFill="1" applyBorder="1" applyAlignment="1">
      <alignment horizontal="right"/>
    </xf>
    <xf numFmtId="0" fontId="12" fillId="6" borderId="55" xfId="0" applyFont="1" applyFill="1" applyBorder="1"/>
    <xf numFmtId="0" fontId="0" fillId="5" borderId="56" xfId="0" applyFill="1" applyBorder="1" applyAlignment="1">
      <alignment horizontal="right"/>
    </xf>
    <xf numFmtId="0" fontId="0" fillId="5" borderId="57" xfId="0" applyFill="1" applyBorder="1" applyAlignment="1">
      <alignment horizontal="right"/>
    </xf>
    <xf numFmtId="0" fontId="0" fillId="5" borderId="58" xfId="0" applyFill="1" applyBorder="1" applyAlignment="1">
      <alignment horizontal="right"/>
    </xf>
    <xf numFmtId="0" fontId="0" fillId="8" borderId="46" xfId="0" applyFill="1" applyBorder="1" applyAlignment="1">
      <alignment horizontal="center"/>
    </xf>
    <xf numFmtId="0" fontId="0" fillId="6" borderId="46" xfId="0" applyFill="1" applyBorder="1" applyAlignment="1">
      <alignment horizontal="center"/>
    </xf>
    <xf numFmtId="14" fontId="0" fillId="8" borderId="46" xfId="0" applyNumberFormat="1" applyFill="1" applyBorder="1" applyAlignment="1">
      <alignment horizontal="center"/>
    </xf>
    <xf numFmtId="0" fontId="0" fillId="8" borderId="52" xfId="0" applyFill="1" applyBorder="1" applyAlignment="1">
      <alignment horizontal="center"/>
    </xf>
    <xf numFmtId="0" fontId="0" fillId="8" borderId="54" xfId="0" applyFill="1" applyBorder="1" applyAlignment="1">
      <alignment horizontal="center"/>
    </xf>
    <xf numFmtId="14" fontId="0" fillId="8" borderId="54" xfId="0" applyNumberFormat="1" applyFill="1" applyBorder="1" applyAlignment="1">
      <alignment horizontal="center"/>
    </xf>
    <xf numFmtId="0" fontId="0" fillId="8" borderId="55" xfId="0" applyFill="1" applyBorder="1" applyAlignment="1">
      <alignment horizontal="center"/>
    </xf>
    <xf numFmtId="2" fontId="8" fillId="6" borderId="46" xfId="1" applyNumberFormat="1" applyFont="1" applyFill="1" applyBorder="1" applyAlignment="1">
      <alignment horizontal="center"/>
    </xf>
    <xf numFmtId="166" fontId="16" fillId="5" borderId="46" xfId="0" applyNumberFormat="1" applyFont="1" applyFill="1" applyBorder="1" applyAlignment="1">
      <alignment horizontal="center"/>
    </xf>
    <xf numFmtId="166" fontId="16" fillId="5" borderId="54" xfId="0" applyNumberFormat="1" applyFont="1" applyFill="1" applyBorder="1" applyAlignment="1">
      <alignment horizontal="center"/>
    </xf>
    <xf numFmtId="0" fontId="2" fillId="5" borderId="51" xfId="0" applyFont="1" applyFill="1" applyBorder="1" applyAlignment="1">
      <alignment horizontal="right"/>
    </xf>
    <xf numFmtId="0" fontId="2" fillId="5" borderId="53" xfId="0" applyFont="1" applyFill="1" applyBorder="1" applyAlignment="1">
      <alignment horizontal="right"/>
    </xf>
    <xf numFmtId="2" fontId="16" fillId="8" borderId="46" xfId="1" applyNumberFormat="1" applyFont="1" applyFill="1" applyBorder="1" applyAlignment="1">
      <alignment horizontal="center"/>
    </xf>
    <xf numFmtId="2" fontId="16" fillId="8" borderId="54" xfId="1" applyNumberFormat="1" applyFont="1" applyFill="1" applyBorder="1" applyAlignment="1">
      <alignment horizontal="center"/>
    </xf>
    <xf numFmtId="0" fontId="29" fillId="15" borderId="4" xfId="0" applyFont="1" applyFill="1" applyBorder="1"/>
    <xf numFmtId="0" fontId="29" fillId="15" borderId="4" xfId="0" applyFont="1" applyFill="1" applyBorder="1" applyAlignment="1">
      <alignment horizontal="left"/>
    </xf>
    <xf numFmtId="0" fontId="29" fillId="15" borderId="5" xfId="0" applyFont="1" applyFill="1" applyBorder="1"/>
    <xf numFmtId="0" fontId="29" fillId="15" borderId="6" xfId="0" applyFont="1" applyFill="1" applyBorder="1"/>
    <xf numFmtId="0" fontId="29" fillId="15" borderId="0" xfId="0" applyFont="1" applyFill="1" applyBorder="1"/>
    <xf numFmtId="0" fontId="29" fillId="15" borderId="0" xfId="0" applyFont="1" applyFill="1" applyBorder="1" applyAlignment="1">
      <alignment horizontal="right"/>
    </xf>
    <xf numFmtId="0" fontId="29" fillId="15" borderId="0" xfId="0" applyFont="1" applyFill="1" applyBorder="1" applyAlignment="1">
      <alignment horizontal="left"/>
    </xf>
    <xf numFmtId="0" fontId="29" fillId="15" borderId="7" xfId="0" applyFont="1" applyFill="1" applyBorder="1"/>
    <xf numFmtId="0" fontId="29" fillId="15" borderId="9" xfId="0" applyFont="1" applyFill="1" applyBorder="1"/>
    <xf numFmtId="0" fontId="29" fillId="15" borderId="9" xfId="0" applyFont="1" applyFill="1" applyBorder="1" applyAlignment="1">
      <alignment horizontal="right"/>
    </xf>
    <xf numFmtId="0" fontId="29" fillId="15" borderId="9" xfId="0" applyFont="1" applyFill="1" applyBorder="1" applyAlignment="1">
      <alignment horizontal="left"/>
    </xf>
    <xf numFmtId="0" fontId="29" fillId="15" borderId="10" xfId="0" applyFont="1" applyFill="1" applyBorder="1"/>
    <xf numFmtId="1" fontId="8" fillId="6" borderId="46" xfId="1" applyNumberFormat="1" applyFont="1" applyFill="1" applyBorder="1" applyAlignment="1">
      <alignment horizontal="center" vertical="center"/>
    </xf>
    <xf numFmtId="1" fontId="8" fillId="8" borderId="54" xfId="1" applyNumberFormat="1" applyFont="1" applyFill="1" applyBorder="1" applyAlignment="1">
      <alignment horizontal="center" vertical="center"/>
    </xf>
    <xf numFmtId="1" fontId="8" fillId="8" borderId="55" xfId="1" applyNumberFormat="1" applyFont="1" applyFill="1" applyBorder="1" applyAlignment="1">
      <alignment horizontal="center" vertical="center"/>
    </xf>
    <xf numFmtId="9" fontId="8" fillId="8" borderId="46" xfId="1" applyFont="1" applyFill="1" applyBorder="1" applyAlignment="1">
      <alignment horizontal="center" vertical="center"/>
    </xf>
    <xf numFmtId="164" fontId="8" fillId="8" borderId="46" xfId="1" applyNumberFormat="1" applyFont="1" applyFill="1" applyBorder="1" applyAlignment="1">
      <alignment horizontal="center" vertical="center"/>
    </xf>
    <xf numFmtId="9" fontId="8" fillId="8" borderId="54" xfId="1" applyFont="1" applyFill="1" applyBorder="1" applyAlignment="1">
      <alignment horizontal="center" vertical="center"/>
    </xf>
    <xf numFmtId="164" fontId="8" fillId="8" borderId="52" xfId="1" applyNumberFormat="1" applyFont="1" applyFill="1" applyBorder="1" applyAlignment="1">
      <alignment horizontal="center" vertical="center"/>
    </xf>
    <xf numFmtId="0" fontId="30" fillId="17" borderId="0" xfId="0" applyFont="1" applyFill="1" applyBorder="1" applyAlignment="1" applyProtection="1">
      <alignment wrapText="1"/>
    </xf>
    <xf numFmtId="0" fontId="8" fillId="8" borderId="4" xfId="0" applyFont="1" applyFill="1" applyBorder="1"/>
    <xf numFmtId="0" fontId="0" fillId="8" borderId="4" xfId="0" applyFill="1" applyBorder="1" applyAlignment="1">
      <alignment horizontal="left"/>
    </xf>
    <xf numFmtId="9" fontId="16" fillId="5" borderId="43" xfId="1" applyFont="1" applyFill="1" applyBorder="1" applyAlignment="1">
      <alignment horizontal="center"/>
    </xf>
    <xf numFmtId="9" fontId="16" fillId="5" borderId="44" xfId="1" applyFont="1" applyFill="1" applyBorder="1" applyAlignment="1">
      <alignment horizontal="center"/>
    </xf>
    <xf numFmtId="9" fontId="0" fillId="8" borderId="0" xfId="1" applyFont="1" applyFill="1" applyBorder="1"/>
    <xf numFmtId="0" fontId="0" fillId="8" borderId="47" xfId="0" applyFill="1" applyBorder="1" applyAlignment="1">
      <alignment horizontal="center" vertical="center"/>
    </xf>
    <xf numFmtId="9" fontId="0" fillId="8" borderId="47" xfId="1" applyFont="1" applyFill="1" applyBorder="1" applyAlignment="1">
      <alignment horizontal="center" vertical="center"/>
    </xf>
    <xf numFmtId="0" fontId="0" fillId="6" borderId="46" xfId="0" applyFill="1" applyBorder="1" applyAlignment="1">
      <alignment horizontal="center" vertical="center"/>
    </xf>
    <xf numFmtId="9" fontId="0" fillId="8" borderId="46" xfId="1" applyFont="1" applyFill="1" applyBorder="1" applyAlignment="1">
      <alignment horizontal="center" vertical="center"/>
    </xf>
    <xf numFmtId="0" fontId="0" fillId="8" borderId="46" xfId="0" applyFill="1" applyBorder="1" applyAlignment="1">
      <alignment horizontal="center" vertical="center"/>
    </xf>
    <xf numFmtId="175" fontId="0" fillId="8" borderId="46" xfId="3" applyNumberFormat="1" applyFont="1" applyFill="1" applyBorder="1" applyAlignment="1">
      <alignment horizontal="center" vertical="center"/>
    </xf>
    <xf numFmtId="176" fontId="0" fillId="8" borderId="46" xfId="0" applyNumberFormat="1" applyFill="1" applyBorder="1" applyAlignment="1">
      <alignment horizontal="center" vertical="center"/>
    </xf>
    <xf numFmtId="0" fontId="0" fillId="8" borderId="0" xfId="0" applyFill="1" applyAlignment="1">
      <alignment horizontal="left"/>
    </xf>
    <xf numFmtId="8" fontId="6" fillId="8" borderId="46" xfId="0" applyNumberFormat="1" applyFont="1" applyFill="1" applyBorder="1"/>
    <xf numFmtId="0" fontId="14" fillId="8" borderId="46" xfId="0" applyFont="1" applyFill="1" applyBorder="1" applyAlignment="1">
      <alignment horizontal="center"/>
    </xf>
    <xf numFmtId="0" fontId="6" fillId="8" borderId="46" xfId="0" applyFont="1" applyFill="1" applyBorder="1"/>
    <xf numFmtId="0" fontId="14" fillId="8" borderId="46" xfId="0" applyFont="1" applyFill="1" applyBorder="1" applyAlignment="1">
      <alignment horizontal="center" wrapText="1"/>
    </xf>
    <xf numFmtId="170" fontId="6" fillId="8" borderId="46" xfId="0" applyNumberFormat="1" applyFont="1" applyFill="1" applyBorder="1"/>
    <xf numFmtId="0" fontId="12" fillId="6" borderId="25" xfId="0" applyFont="1" applyFill="1" applyBorder="1"/>
    <xf numFmtId="174" fontId="16" fillId="5" borderId="61" xfId="1" applyNumberFormat="1" applyFont="1" applyFill="1" applyBorder="1" applyAlignment="1">
      <alignment horizontal="center"/>
    </xf>
    <xf numFmtId="1" fontId="16" fillId="5" borderId="46" xfId="1" applyNumberFormat="1" applyFont="1" applyFill="1" applyBorder="1" applyAlignment="1">
      <alignment horizontal="center"/>
    </xf>
    <xf numFmtId="9" fontId="8" fillId="6" borderId="54" xfId="1" applyFont="1" applyFill="1" applyBorder="1" applyAlignment="1">
      <alignment horizontal="center" vertical="center"/>
    </xf>
    <xf numFmtId="9" fontId="16" fillId="5" borderId="54" xfId="1" applyFont="1" applyFill="1" applyBorder="1" applyAlignment="1">
      <alignment horizontal="center"/>
    </xf>
    <xf numFmtId="165" fontId="8" fillId="6" borderId="46" xfId="0" applyNumberFormat="1" applyFont="1" applyFill="1" applyBorder="1" applyAlignment="1">
      <alignment horizontal="center" vertical="center"/>
    </xf>
    <xf numFmtId="165" fontId="8" fillId="6" borderId="54" xfId="0" applyNumberFormat="1" applyFont="1" applyFill="1" applyBorder="1" applyAlignment="1">
      <alignment horizontal="center" vertical="center"/>
    </xf>
    <xf numFmtId="1" fontId="16" fillId="5" borderId="54" xfId="1" applyNumberFormat="1" applyFont="1" applyFill="1" applyBorder="1" applyAlignment="1">
      <alignment horizontal="center"/>
    </xf>
    <xf numFmtId="0" fontId="0" fillId="5" borderId="62" xfId="0" applyFill="1" applyBorder="1" applyAlignment="1">
      <alignment horizontal="right"/>
    </xf>
    <xf numFmtId="174" fontId="8" fillId="8" borderId="63" xfId="1" applyNumberFormat="1" applyFont="1" applyFill="1" applyBorder="1" applyAlignment="1">
      <alignment horizontal="center"/>
    </xf>
    <xf numFmtId="174" fontId="0" fillId="8" borderId="0" xfId="0" applyNumberFormat="1" applyFill="1" applyBorder="1"/>
    <xf numFmtId="168" fontId="0" fillId="8" borderId="0" xfId="3" applyNumberFormat="1" applyFont="1" applyFill="1" applyBorder="1"/>
    <xf numFmtId="171" fontId="8" fillId="8" borderId="9" xfId="1" applyNumberFormat="1" applyFont="1" applyFill="1" applyBorder="1" applyAlignment="1">
      <alignment horizontal="right"/>
    </xf>
    <xf numFmtId="168" fontId="0" fillId="8" borderId="7" xfId="3" applyNumberFormat="1" applyFont="1" applyFill="1" applyBorder="1"/>
    <xf numFmtId="168" fontId="0" fillId="8" borderId="65" xfId="3" applyNumberFormat="1" applyFont="1" applyFill="1" applyBorder="1"/>
    <xf numFmtId="168" fontId="0" fillId="8" borderId="30" xfId="3" applyNumberFormat="1" applyFont="1" applyFill="1" applyBorder="1"/>
    <xf numFmtId="168" fontId="0" fillId="8" borderId="4" xfId="3" applyNumberFormat="1" applyFont="1" applyFill="1" applyBorder="1"/>
    <xf numFmtId="168" fontId="0" fillId="8" borderId="5" xfId="3" applyNumberFormat="1" applyFont="1" applyFill="1" applyBorder="1"/>
    <xf numFmtId="0" fontId="28" fillId="11" borderId="2" xfId="0" applyFont="1" applyFill="1" applyBorder="1"/>
    <xf numFmtId="168" fontId="0" fillId="8" borderId="1" xfId="3" applyNumberFormat="1" applyFont="1" applyFill="1" applyBorder="1"/>
    <xf numFmtId="168" fontId="0" fillId="6" borderId="1" xfId="3" applyNumberFormat="1" applyFont="1" applyFill="1" applyBorder="1"/>
    <xf numFmtId="168" fontId="31" fillId="6" borderId="1" xfId="3" applyNumberFormat="1" applyFont="1" applyFill="1" applyBorder="1"/>
    <xf numFmtId="168" fontId="6" fillId="6" borderId="1" xfId="3" applyNumberFormat="1" applyFont="1" applyFill="1" applyBorder="1"/>
    <xf numFmtId="0" fontId="25" fillId="8" borderId="54" xfId="0" applyFont="1" applyFill="1" applyBorder="1" applyAlignment="1" applyProtection="1">
      <alignment horizontal="center" vertical="center"/>
    </xf>
    <xf numFmtId="0" fontId="25" fillId="8" borderId="55" xfId="0" applyFont="1" applyFill="1" applyBorder="1" applyAlignment="1" applyProtection="1">
      <alignment horizontal="center" vertical="center"/>
    </xf>
    <xf numFmtId="0" fontId="27" fillId="11" borderId="2" xfId="0" applyFont="1" applyFill="1" applyBorder="1"/>
    <xf numFmtId="0" fontId="27" fillId="15" borderId="8" xfId="0" applyFont="1" applyFill="1" applyBorder="1"/>
    <xf numFmtId="0" fontId="7" fillId="4" borderId="20" xfId="0" applyFont="1" applyFill="1" applyBorder="1" applyAlignment="1">
      <alignment horizontal="right"/>
    </xf>
    <xf numFmtId="0" fontId="7" fillId="4" borderId="67" xfId="0" applyFont="1" applyFill="1" applyBorder="1" applyAlignment="1">
      <alignment horizontal="left"/>
    </xf>
    <xf numFmtId="177" fontId="8" fillId="8" borderId="41" xfId="1" applyNumberFormat="1" applyFont="1" applyFill="1" applyBorder="1" applyAlignment="1">
      <alignment horizontal="center"/>
    </xf>
    <xf numFmtId="177" fontId="8" fillId="8" borderId="42" xfId="1" applyNumberFormat="1" applyFont="1" applyFill="1" applyBorder="1" applyAlignment="1">
      <alignment horizontal="center"/>
    </xf>
    <xf numFmtId="177" fontId="16" fillId="5" borderId="43" xfId="0" applyNumberFormat="1" applyFont="1" applyFill="1" applyBorder="1" applyAlignment="1">
      <alignment horizontal="center"/>
    </xf>
    <xf numFmtId="177" fontId="8" fillId="6" borderId="39" xfId="1" applyNumberFormat="1" applyFont="1" applyFill="1" applyBorder="1" applyAlignment="1">
      <alignment horizontal="center"/>
    </xf>
    <xf numFmtId="177" fontId="8" fillId="6" borderId="40" xfId="1" applyNumberFormat="1" applyFont="1" applyFill="1" applyBorder="1" applyAlignment="1">
      <alignment horizontal="center"/>
    </xf>
    <xf numFmtId="177" fontId="16" fillId="5" borderId="45" xfId="0" applyNumberFormat="1" applyFont="1" applyFill="1" applyBorder="1" applyAlignment="1">
      <alignment horizontal="center"/>
    </xf>
    <xf numFmtId="0" fontId="2" fillId="5" borderId="68" xfId="0" applyFont="1" applyFill="1" applyBorder="1" applyAlignment="1">
      <alignment horizontal="right"/>
    </xf>
    <xf numFmtId="0" fontId="12" fillId="6" borderId="70" xfId="0" applyFont="1" applyFill="1" applyBorder="1"/>
    <xf numFmtId="2" fontId="16" fillId="6" borderId="69" xfId="1" applyNumberFormat="1" applyFont="1" applyFill="1" applyBorder="1" applyAlignment="1">
      <alignment horizontal="center"/>
    </xf>
    <xf numFmtId="0" fontId="27" fillId="11" borderId="2" xfId="0" applyFont="1" applyFill="1" applyBorder="1" applyAlignment="1">
      <alignment horizontal="right"/>
    </xf>
    <xf numFmtId="165" fontId="16" fillId="5" borderId="46" xfId="0" applyNumberFormat="1" applyFont="1" applyFill="1" applyBorder="1" applyAlignment="1">
      <alignment horizontal="right"/>
    </xf>
    <xf numFmtId="0" fontId="6" fillId="5" borderId="51" xfId="0" applyFont="1" applyFill="1" applyBorder="1" applyAlignment="1">
      <alignment horizontal="right"/>
    </xf>
    <xf numFmtId="0" fontId="6" fillId="5" borderId="53" xfId="0" applyFont="1" applyFill="1" applyBorder="1" applyAlignment="1">
      <alignment horizontal="right"/>
    </xf>
    <xf numFmtId="165" fontId="16" fillId="5" borderId="54" xfId="0" applyNumberFormat="1" applyFont="1" applyFill="1" applyBorder="1" applyAlignment="1">
      <alignment horizontal="right"/>
    </xf>
    <xf numFmtId="0" fontId="12" fillId="6" borderId="66" xfId="0" applyFont="1" applyFill="1" applyBorder="1"/>
    <xf numFmtId="0" fontId="12" fillId="0" borderId="0" xfId="0" applyFont="1"/>
    <xf numFmtId="0" fontId="7" fillId="4" borderId="13" xfId="0" applyFont="1" applyFill="1" applyBorder="1"/>
    <xf numFmtId="165" fontId="16" fillId="8" borderId="46" xfId="0" applyNumberFormat="1" applyFont="1" applyFill="1" applyBorder="1" applyAlignment="1">
      <alignment horizontal="right"/>
    </xf>
    <xf numFmtId="165" fontId="8" fillId="6" borderId="46" xfId="0" applyNumberFormat="1" applyFont="1" applyFill="1" applyBorder="1" applyAlignment="1">
      <alignment horizontal="right"/>
    </xf>
    <xf numFmtId="0" fontId="21" fillId="5" borderId="48" xfId="0" applyFont="1" applyFill="1" applyBorder="1" applyAlignment="1">
      <alignment horizontal="right"/>
    </xf>
    <xf numFmtId="0" fontId="21" fillId="5" borderId="51" xfId="0" applyFont="1" applyFill="1" applyBorder="1" applyAlignment="1">
      <alignment horizontal="right"/>
    </xf>
    <xf numFmtId="165" fontId="8" fillId="6" borderId="54" xfId="0" applyNumberFormat="1" applyFont="1" applyFill="1" applyBorder="1" applyAlignment="1">
      <alignment horizontal="right"/>
    </xf>
    <xf numFmtId="165" fontId="16" fillId="8" borderId="47" xfId="0" applyNumberFormat="1" applyFont="1" applyFill="1" applyBorder="1" applyAlignment="1">
      <alignment horizontal="right"/>
    </xf>
    <xf numFmtId="165" fontId="16" fillId="5" borderId="47" xfId="0" applyNumberFormat="1" applyFont="1" applyFill="1" applyBorder="1" applyAlignment="1">
      <alignment horizontal="right"/>
    </xf>
    <xf numFmtId="0" fontId="2" fillId="11" borderId="71" xfId="0" applyFont="1" applyFill="1" applyBorder="1" applyAlignment="1">
      <alignment horizontal="center"/>
    </xf>
    <xf numFmtId="0" fontId="2" fillId="11" borderId="72" xfId="0" applyFont="1" applyFill="1" applyBorder="1" applyAlignment="1">
      <alignment horizontal="center"/>
    </xf>
    <xf numFmtId="0" fontId="2" fillId="11" borderId="73" xfId="0" applyFont="1" applyFill="1" applyBorder="1" applyAlignment="1">
      <alignment horizontal="center"/>
    </xf>
    <xf numFmtId="165" fontId="16" fillId="6" borderId="46" xfId="0" applyNumberFormat="1" applyFont="1" applyFill="1" applyBorder="1" applyAlignment="1">
      <alignment horizontal="right"/>
    </xf>
    <xf numFmtId="0" fontId="21" fillId="5" borderId="71" xfId="0" applyFont="1" applyFill="1" applyBorder="1" applyAlignment="1">
      <alignment horizontal="right"/>
    </xf>
    <xf numFmtId="165" fontId="16" fillId="6" borderId="72" xfId="0" applyNumberFormat="1" applyFont="1" applyFill="1" applyBorder="1" applyAlignment="1">
      <alignment horizontal="right"/>
    </xf>
    <xf numFmtId="165" fontId="16" fillId="5" borderId="72" xfId="0" applyNumberFormat="1" applyFont="1" applyFill="1" applyBorder="1" applyAlignment="1">
      <alignment horizontal="right"/>
    </xf>
    <xf numFmtId="0" fontId="12" fillId="6" borderId="73" xfId="0" applyFont="1" applyFill="1" applyBorder="1"/>
    <xf numFmtId="0" fontId="6" fillId="5" borderId="48" xfId="0" applyFont="1" applyFill="1" applyBorder="1" applyAlignment="1">
      <alignment horizontal="right"/>
    </xf>
    <xf numFmtId="165" fontId="16" fillId="8" borderId="54" xfId="0" applyNumberFormat="1" applyFont="1" applyFill="1" applyBorder="1" applyAlignment="1">
      <alignment horizontal="right"/>
    </xf>
    <xf numFmtId="165" fontId="8" fillId="6" borderId="47" xfId="0" applyNumberFormat="1" applyFont="1" applyFill="1" applyBorder="1" applyAlignment="1">
      <alignment horizontal="right"/>
    </xf>
    <xf numFmtId="0" fontId="6" fillId="5" borderId="71" xfId="0" applyFont="1" applyFill="1" applyBorder="1" applyAlignment="1">
      <alignment horizontal="right"/>
    </xf>
    <xf numFmtId="165" fontId="8" fillId="6" borderId="72" xfId="0" applyNumberFormat="1" applyFont="1" applyFill="1" applyBorder="1" applyAlignment="1">
      <alignment horizontal="left"/>
    </xf>
    <xf numFmtId="165" fontId="8" fillId="6" borderId="73" xfId="0" applyNumberFormat="1" applyFont="1" applyFill="1" applyBorder="1" applyAlignment="1">
      <alignment horizontal="right"/>
    </xf>
    <xf numFmtId="165" fontId="8" fillId="6" borderId="47" xfId="0" applyNumberFormat="1" applyFont="1" applyFill="1" applyBorder="1" applyAlignment="1">
      <alignment horizontal="center" vertical="center"/>
    </xf>
    <xf numFmtId="0" fontId="0" fillId="5" borderId="48" xfId="0" applyFill="1" applyBorder="1" applyAlignment="1">
      <alignment horizontal="right"/>
    </xf>
    <xf numFmtId="0" fontId="12" fillId="6" borderId="74" xfId="0" applyFont="1" applyFill="1" applyBorder="1"/>
    <xf numFmtId="0" fontId="12" fillId="6" borderId="10" xfId="0" applyFont="1" applyFill="1" applyBorder="1"/>
    <xf numFmtId="165" fontId="8" fillId="8" borderId="46" xfId="0" applyNumberFormat="1" applyFont="1" applyFill="1" applyBorder="1" applyAlignment="1">
      <alignment horizontal="center"/>
    </xf>
    <xf numFmtId="165" fontId="8" fillId="6" borderId="46" xfId="0" applyNumberFormat="1" applyFont="1" applyFill="1" applyBorder="1" applyAlignment="1">
      <alignment horizontal="center"/>
    </xf>
    <xf numFmtId="165" fontId="16" fillId="5" borderId="52" xfId="0" applyNumberFormat="1" applyFont="1" applyFill="1" applyBorder="1" applyAlignment="1">
      <alignment horizontal="center"/>
    </xf>
    <xf numFmtId="0" fontId="32" fillId="0" borderId="0" xfId="7"/>
    <xf numFmtId="44" fontId="8" fillId="0" borderId="0" xfId="0" applyNumberFormat="1" applyFont="1"/>
    <xf numFmtId="0" fontId="0" fillId="8" borderId="3" xfId="0" applyFill="1" applyBorder="1" applyAlignment="1">
      <alignment horizontal="right"/>
    </xf>
    <xf numFmtId="0" fontId="32" fillId="8" borderId="4" xfId="7" applyFill="1" applyBorder="1"/>
    <xf numFmtId="0" fontId="32" fillId="8" borderId="0" xfId="7" applyFill="1" applyBorder="1"/>
    <xf numFmtId="0" fontId="32" fillId="8" borderId="9" xfId="7" applyFill="1" applyBorder="1"/>
    <xf numFmtId="0" fontId="6" fillId="5" borderId="84" xfId="0" applyFont="1" applyFill="1" applyBorder="1" applyAlignment="1">
      <alignment horizontal="right"/>
    </xf>
    <xf numFmtId="2" fontId="8" fillId="6" borderId="85" xfId="1" applyNumberFormat="1" applyFont="1" applyFill="1" applyBorder="1" applyAlignment="1">
      <alignment horizontal="center"/>
    </xf>
    <xf numFmtId="0" fontId="6" fillId="5" borderId="86" xfId="0" applyFont="1" applyFill="1" applyBorder="1" applyAlignment="1">
      <alignment horizontal="right"/>
    </xf>
    <xf numFmtId="2" fontId="8" fillId="6" borderId="87" xfId="1" applyNumberFormat="1" applyFont="1" applyFill="1" applyBorder="1" applyAlignment="1">
      <alignment horizontal="center"/>
    </xf>
    <xf numFmtId="44" fontId="8" fillId="5" borderId="50" xfId="0" applyNumberFormat="1" applyFont="1" applyFill="1" applyBorder="1"/>
    <xf numFmtId="44" fontId="8" fillId="5" borderId="55" xfId="0" applyNumberFormat="1" applyFont="1" applyFill="1" applyBorder="1"/>
    <xf numFmtId="44" fontId="8" fillId="8" borderId="50" xfId="0" applyNumberFormat="1" applyFont="1" applyFill="1" applyBorder="1"/>
    <xf numFmtId="44" fontId="8" fillId="8" borderId="52" xfId="0" applyNumberFormat="1" applyFont="1" applyFill="1" applyBorder="1"/>
    <xf numFmtId="44" fontId="8" fillId="8" borderId="55" xfId="0" applyNumberFormat="1" applyFont="1" applyFill="1" applyBorder="1"/>
    <xf numFmtId="44" fontId="8" fillId="8" borderId="0" xfId="0" applyNumberFormat="1" applyFont="1" applyFill="1" applyBorder="1"/>
    <xf numFmtId="10" fontId="8" fillId="8" borderId="0" xfId="1" applyNumberFormat="1" applyFont="1" applyFill="1" applyBorder="1"/>
    <xf numFmtId="0" fontId="6" fillId="8" borderId="0" xfId="0" applyFont="1" applyFill="1" applyBorder="1" applyAlignment="1">
      <alignment horizontal="right"/>
    </xf>
    <xf numFmtId="0" fontId="6" fillId="8" borderId="9" xfId="0" applyFont="1" applyFill="1" applyBorder="1" applyAlignment="1">
      <alignment horizontal="right"/>
    </xf>
    <xf numFmtId="10" fontId="8" fillId="8" borderId="9" xfId="1" applyNumberFormat="1" applyFont="1" applyFill="1" applyBorder="1"/>
    <xf numFmtId="0" fontId="0" fillId="8" borderId="3" xfId="0" applyFill="1" applyBorder="1"/>
    <xf numFmtId="0" fontId="8" fillId="7" borderId="19" xfId="0" applyFont="1" applyFill="1" applyBorder="1"/>
    <xf numFmtId="44" fontId="8" fillId="7" borderId="73" xfId="0" applyNumberFormat="1" applyFont="1" applyFill="1" applyBorder="1"/>
    <xf numFmtId="44" fontId="8" fillId="6" borderId="50" xfId="0" applyNumberFormat="1" applyFont="1" applyFill="1" applyBorder="1"/>
    <xf numFmtId="44" fontId="8" fillId="6" borderId="52" xfId="0" applyNumberFormat="1" applyFont="1" applyFill="1" applyBorder="1"/>
    <xf numFmtId="44" fontId="8" fillId="6" borderId="55" xfId="0" applyNumberFormat="1" applyFont="1" applyFill="1" applyBorder="1"/>
    <xf numFmtId="44" fontId="8" fillId="6" borderId="46" xfId="0" applyNumberFormat="1" applyFont="1" applyFill="1" applyBorder="1"/>
    <xf numFmtId="44" fontId="8" fillId="6" borderId="54" xfId="0" applyNumberFormat="1" applyFont="1" applyFill="1" applyBorder="1"/>
    <xf numFmtId="44" fontId="8" fillId="6" borderId="49" xfId="0" applyNumberFormat="1" applyFont="1" applyFill="1" applyBorder="1"/>
    <xf numFmtId="44" fontId="16" fillId="7" borderId="2" xfId="0" applyNumberFormat="1" applyFont="1" applyFill="1" applyBorder="1"/>
    <xf numFmtId="0" fontId="0" fillId="5" borderId="71" xfId="0" applyFill="1" applyBorder="1" applyAlignment="1">
      <alignment horizontal="right"/>
    </xf>
    <xf numFmtId="44" fontId="8" fillId="8" borderId="9" xfId="0" applyNumberFormat="1" applyFont="1" applyFill="1" applyBorder="1"/>
    <xf numFmtId="44" fontId="8" fillId="8" borderId="4" xfId="0" applyNumberFormat="1" applyFont="1" applyFill="1" applyBorder="1"/>
    <xf numFmtId="0" fontId="16" fillId="8" borderId="0" xfId="0" applyFont="1" applyFill="1" applyBorder="1" applyAlignment="1">
      <alignment horizontal="right"/>
    </xf>
    <xf numFmtId="44" fontId="8" fillId="6" borderId="73" xfId="0" applyNumberFormat="1" applyFont="1" applyFill="1" applyBorder="1"/>
    <xf numFmtId="10" fontId="8" fillId="6" borderId="55" xfId="1" applyNumberFormat="1" applyFont="1" applyFill="1" applyBorder="1" applyAlignment="1">
      <alignment horizontal="center"/>
    </xf>
    <xf numFmtId="0" fontId="16" fillId="7" borderId="20" xfId="0" applyFont="1" applyFill="1" applyBorder="1" applyAlignment="1">
      <alignment horizontal="left"/>
    </xf>
    <xf numFmtId="178" fontId="8" fillId="8" borderId="73" xfId="0" applyNumberFormat="1" applyFont="1" applyFill="1" applyBorder="1"/>
    <xf numFmtId="0" fontId="16" fillId="7" borderId="2" xfId="0" applyFont="1" applyFill="1" applyBorder="1" applyAlignment="1">
      <alignment horizontal="left"/>
    </xf>
    <xf numFmtId="0" fontId="0" fillId="8" borderId="49" xfId="0" applyFill="1" applyBorder="1" applyAlignment="1">
      <alignment horizontal="center" vertical="center"/>
    </xf>
    <xf numFmtId="0" fontId="0" fillId="8" borderId="50" xfId="0" applyFill="1" applyBorder="1" applyAlignment="1">
      <alignment horizontal="center" vertical="center"/>
    </xf>
    <xf numFmtId="0" fontId="0" fillId="8" borderId="52" xfId="0" applyFill="1" applyBorder="1" applyAlignment="1">
      <alignment horizontal="center" vertical="center"/>
    </xf>
    <xf numFmtId="0" fontId="0" fillId="8" borderId="54" xfId="0" applyFill="1" applyBorder="1" applyAlignment="1">
      <alignment horizontal="center" vertical="center"/>
    </xf>
    <xf numFmtId="0" fontId="0" fillId="8" borderId="55" xfId="0" applyFill="1" applyBorder="1" applyAlignment="1">
      <alignment horizontal="center" vertical="center"/>
    </xf>
    <xf numFmtId="0" fontId="0" fillId="8" borderId="71" xfId="0" applyFill="1" applyBorder="1" applyAlignment="1">
      <alignment horizontal="center" vertical="center"/>
    </xf>
    <xf numFmtId="0" fontId="0" fillId="8" borderId="72" xfId="0" applyFill="1" applyBorder="1" applyAlignment="1">
      <alignment horizontal="center" vertical="center"/>
    </xf>
    <xf numFmtId="0" fontId="0" fillId="8" borderId="73" xfId="0" applyFill="1" applyBorder="1" applyAlignment="1">
      <alignment horizontal="center"/>
    </xf>
    <xf numFmtId="0" fontId="0" fillId="7" borderId="71" xfId="0" applyFont="1" applyFill="1" applyBorder="1" applyAlignment="1">
      <alignment horizontal="left"/>
    </xf>
    <xf numFmtId="0" fontId="0" fillId="7" borderId="73" xfId="0" applyFont="1" applyFill="1" applyBorder="1" applyAlignment="1">
      <alignment horizontal="left"/>
    </xf>
    <xf numFmtId="174" fontId="8" fillId="8" borderId="64" xfId="1" applyNumberFormat="1" applyFont="1" applyFill="1" applyBorder="1" applyAlignment="1">
      <alignment horizontal="center"/>
    </xf>
    <xf numFmtId="174" fontId="8" fillId="8" borderId="39" xfId="1" applyNumberFormat="1" applyFont="1" applyFill="1" applyBorder="1" applyAlignment="1">
      <alignment horizontal="center"/>
    </xf>
    <xf numFmtId="10" fontId="8" fillId="8" borderId="39" xfId="1" applyNumberFormat="1" applyFont="1" applyFill="1" applyBorder="1" applyAlignment="1">
      <alignment horizontal="center"/>
    </xf>
    <xf numFmtId="179" fontId="0" fillId="6" borderId="49" xfId="0" applyNumberFormat="1" applyFill="1" applyBorder="1" applyAlignment="1">
      <alignment horizontal="center"/>
    </xf>
    <xf numFmtId="179" fontId="0" fillId="6" borderId="46" xfId="0" applyNumberFormat="1" applyFill="1" applyBorder="1" applyAlignment="1">
      <alignment horizontal="center"/>
    </xf>
    <xf numFmtId="179" fontId="0" fillId="6" borderId="54" xfId="0" applyNumberFormat="1" applyFill="1" applyBorder="1" applyAlignment="1">
      <alignment horizontal="center"/>
    </xf>
    <xf numFmtId="179" fontId="8" fillId="6" borderId="52" xfId="0" applyNumberFormat="1" applyFont="1" applyFill="1" applyBorder="1" applyAlignment="1">
      <alignment horizontal="center"/>
    </xf>
    <xf numFmtId="178" fontId="8" fillId="6" borderId="73" xfId="0" applyNumberFormat="1"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27" fillId="15" borderId="3" xfId="0" applyFont="1" applyFill="1" applyBorder="1"/>
    <xf numFmtId="2" fontId="0" fillId="8" borderId="0" xfId="0" applyNumberFormat="1" applyFill="1" applyBorder="1"/>
    <xf numFmtId="180" fontId="16" fillId="8" borderId="46" xfId="1" applyNumberFormat="1" applyFont="1" applyFill="1" applyBorder="1" applyAlignment="1">
      <alignment horizontal="center"/>
    </xf>
    <xf numFmtId="180" fontId="8" fillId="6" borderId="46" xfId="1" applyNumberFormat="1" applyFont="1" applyFill="1" applyBorder="1" applyAlignment="1">
      <alignment horizontal="center"/>
    </xf>
    <xf numFmtId="180" fontId="16" fillId="8" borderId="54" xfId="1" applyNumberFormat="1" applyFont="1" applyFill="1" applyBorder="1" applyAlignment="1">
      <alignment horizontal="center"/>
    </xf>
    <xf numFmtId="44" fontId="13" fillId="8" borderId="1" xfId="0" applyNumberFormat="1" applyFont="1" applyFill="1" applyBorder="1" applyAlignment="1"/>
    <xf numFmtId="170" fontId="8" fillId="8" borderId="49" xfId="0" applyNumberFormat="1" applyFont="1" applyFill="1" applyBorder="1" applyAlignment="1">
      <alignment horizontal="center"/>
    </xf>
    <xf numFmtId="170" fontId="8" fillId="8" borderId="50" xfId="0" applyNumberFormat="1" applyFont="1" applyFill="1" applyBorder="1" applyAlignment="1">
      <alignment horizontal="center"/>
    </xf>
    <xf numFmtId="170" fontId="8" fillId="8" borderId="46" xfId="0" applyNumberFormat="1" applyFont="1" applyFill="1" applyBorder="1" applyAlignment="1">
      <alignment horizontal="center"/>
    </xf>
    <xf numFmtId="170" fontId="8" fillId="8" borderId="52" xfId="0" applyNumberFormat="1" applyFont="1" applyFill="1" applyBorder="1" applyAlignment="1">
      <alignment horizontal="center"/>
    </xf>
    <xf numFmtId="170" fontId="8" fillId="8" borderId="54" xfId="0" applyNumberFormat="1" applyFont="1" applyFill="1" applyBorder="1" applyAlignment="1">
      <alignment horizontal="center"/>
    </xf>
    <xf numFmtId="170" fontId="8" fillId="8" borderId="55" xfId="0" applyNumberFormat="1" applyFont="1" applyFill="1" applyBorder="1" applyAlignment="1">
      <alignment horizontal="center"/>
    </xf>
    <xf numFmtId="0" fontId="8" fillId="8" borderId="60" xfId="1" applyNumberFormat="1" applyFont="1" applyFill="1" applyBorder="1" applyAlignment="1">
      <alignment horizontal="center"/>
    </xf>
    <xf numFmtId="0" fontId="4" fillId="17" borderId="3" xfId="0" applyFont="1" applyFill="1" applyBorder="1" applyProtection="1"/>
    <xf numFmtId="0" fontId="0" fillId="8" borderId="4" xfId="0" applyFill="1" applyBorder="1" applyAlignment="1">
      <alignment horizontal="center"/>
    </xf>
    <xf numFmtId="0" fontId="4" fillId="17" borderId="4" xfId="0" applyFont="1" applyFill="1" applyBorder="1" applyAlignment="1" applyProtection="1">
      <alignment wrapText="1"/>
    </xf>
    <xf numFmtId="1" fontId="9" fillId="17" borderId="4" xfId="0" applyNumberFormat="1" applyFont="1" applyFill="1" applyBorder="1" applyAlignment="1" applyProtection="1">
      <alignment wrapText="1"/>
    </xf>
    <xf numFmtId="0" fontId="4" fillId="17" borderId="4" xfId="0" applyFont="1" applyFill="1" applyBorder="1" applyProtection="1"/>
    <xf numFmtId="0" fontId="4" fillId="17" borderId="5" xfId="0" applyFont="1" applyFill="1" applyBorder="1" applyProtection="1"/>
    <xf numFmtId="0" fontId="4" fillId="17" borderId="8" xfId="0" applyFont="1" applyFill="1" applyBorder="1" applyProtection="1"/>
    <xf numFmtId="0" fontId="0" fillId="8" borderId="9" xfId="0" applyFill="1" applyBorder="1" applyAlignment="1">
      <alignment horizontal="center"/>
    </xf>
    <xf numFmtId="0" fontId="4" fillId="17" borderId="9" xfId="0" applyFont="1" applyFill="1" applyBorder="1" applyAlignment="1" applyProtection="1">
      <alignment wrapText="1"/>
    </xf>
    <xf numFmtId="1" fontId="9" fillId="17" borderId="9" xfId="0" applyNumberFormat="1" applyFont="1" applyFill="1" applyBorder="1" applyAlignment="1" applyProtection="1">
      <alignment wrapText="1"/>
    </xf>
    <xf numFmtId="0" fontId="4" fillId="17" borderId="9" xfId="0" applyFont="1" applyFill="1" applyBorder="1" applyProtection="1"/>
    <xf numFmtId="0" fontId="4" fillId="17" borderId="10" xfId="0" applyFont="1" applyFill="1" applyBorder="1" applyProtection="1"/>
    <xf numFmtId="44" fontId="0" fillId="17" borderId="20" xfId="0" applyNumberFormat="1" applyFill="1" applyBorder="1" applyAlignment="1" applyProtection="1">
      <alignment horizontal="center"/>
    </xf>
    <xf numFmtId="170" fontId="0" fillId="17" borderId="19" xfId="0" applyNumberFormat="1" applyFill="1" applyBorder="1" applyAlignment="1" applyProtection="1">
      <alignment horizontal="center"/>
    </xf>
    <xf numFmtId="170" fontId="0" fillId="17" borderId="13" xfId="0" applyNumberFormat="1" applyFill="1" applyBorder="1" applyAlignment="1" applyProtection="1">
      <alignment horizontal="center"/>
    </xf>
    <xf numFmtId="0" fontId="8" fillId="6" borderId="85" xfId="1" applyNumberFormat="1" applyFont="1" applyFill="1" applyBorder="1" applyAlignment="1">
      <alignment horizontal="center" vertical="center"/>
    </xf>
    <xf numFmtId="0" fontId="6" fillId="5" borderId="88" xfId="0" applyFont="1" applyFill="1" applyBorder="1" applyAlignment="1">
      <alignment horizontal="right"/>
    </xf>
    <xf numFmtId="0" fontId="8" fillId="6" borderId="89" xfId="1" applyNumberFormat="1" applyFont="1" applyFill="1" applyBorder="1" applyAlignment="1">
      <alignment horizontal="center" vertical="center"/>
    </xf>
    <xf numFmtId="0" fontId="8" fillId="8" borderId="87" xfId="0" applyFont="1" applyFill="1" applyBorder="1" applyAlignment="1">
      <alignment horizontal="center"/>
    </xf>
    <xf numFmtId="0" fontId="6" fillId="5" borderId="90" xfId="0" applyFont="1" applyFill="1" applyBorder="1" applyAlignment="1">
      <alignment horizontal="right"/>
    </xf>
    <xf numFmtId="0" fontId="8" fillId="6" borderId="91" xfId="1" applyNumberFormat="1" applyFont="1" applyFill="1" applyBorder="1" applyAlignment="1">
      <alignment horizontal="center" vertical="center"/>
    </xf>
    <xf numFmtId="171" fontId="8" fillId="8" borderId="85" xfId="1" applyNumberFormat="1" applyFont="1" applyFill="1" applyBorder="1" applyAlignment="1">
      <alignment horizontal="center"/>
    </xf>
    <xf numFmtId="171" fontId="8" fillId="8" borderId="87" xfId="1" applyNumberFormat="1" applyFont="1" applyFill="1" applyBorder="1" applyAlignment="1">
      <alignment horizontal="center"/>
    </xf>
    <xf numFmtId="0" fontId="0" fillId="6" borderId="48" xfId="0" applyFill="1" applyBorder="1" applyAlignment="1">
      <alignment horizontal="center" vertical="center"/>
    </xf>
    <xf numFmtId="0" fontId="0" fillId="6" borderId="51" xfId="0" applyFill="1" applyBorder="1" applyAlignment="1">
      <alignment horizontal="center" vertical="center"/>
    </xf>
    <xf numFmtId="0" fontId="0" fillId="6" borderId="53" xfId="0" applyFill="1" applyBorder="1" applyAlignment="1">
      <alignment horizontal="center" vertical="center"/>
    </xf>
    <xf numFmtId="0" fontId="2" fillId="8" borderId="8" xfId="0" applyFont="1" applyFill="1" applyBorder="1"/>
    <xf numFmtId="165" fontId="16" fillId="8" borderId="49" xfId="0" applyNumberFormat="1" applyFont="1" applyFill="1" applyBorder="1" applyAlignment="1">
      <alignment horizontal="right"/>
    </xf>
    <xf numFmtId="165" fontId="16" fillId="5" borderId="49" xfId="0" applyNumberFormat="1" applyFont="1" applyFill="1" applyBorder="1" applyAlignment="1">
      <alignment horizontal="right"/>
    </xf>
    <xf numFmtId="0" fontId="12" fillId="6" borderId="50" xfId="0" applyFont="1" applyFill="1" applyBorder="1"/>
    <xf numFmtId="10" fontId="8" fillId="6" borderId="46" xfId="1" applyNumberFormat="1" applyFont="1" applyFill="1" applyBorder="1" applyAlignment="1">
      <alignment horizontal="center"/>
    </xf>
    <xf numFmtId="0" fontId="2" fillId="11" borderId="92" xfId="0" applyFont="1" applyFill="1" applyBorder="1" applyAlignment="1">
      <alignment horizontal="center"/>
    </xf>
    <xf numFmtId="0" fontId="2" fillId="11" borderId="93" xfId="0" applyFont="1" applyFill="1" applyBorder="1" applyAlignment="1">
      <alignment horizontal="center"/>
    </xf>
    <xf numFmtId="0" fontId="2" fillId="11" borderId="94" xfId="0" applyFont="1" applyFill="1" applyBorder="1" applyAlignment="1">
      <alignment horizontal="center"/>
    </xf>
    <xf numFmtId="0" fontId="22" fillId="5" borderId="48" xfId="0" applyFont="1" applyFill="1" applyBorder="1" applyAlignment="1">
      <alignment horizontal="right"/>
    </xf>
    <xf numFmtId="10" fontId="8" fillId="6" borderId="49" xfId="1" applyNumberFormat="1" applyFont="1" applyFill="1" applyBorder="1" applyAlignment="1">
      <alignment horizontal="center"/>
    </xf>
    <xf numFmtId="10" fontId="8" fillId="6" borderId="50" xfId="1" applyNumberFormat="1" applyFont="1" applyFill="1" applyBorder="1" applyAlignment="1">
      <alignment horizontal="center"/>
    </xf>
    <xf numFmtId="0" fontId="22" fillId="5" borderId="51" xfId="0" applyFont="1" applyFill="1" applyBorder="1" applyAlignment="1">
      <alignment horizontal="right"/>
    </xf>
    <xf numFmtId="10" fontId="8" fillId="6" borderId="52" xfId="1" applyNumberFormat="1" applyFont="1" applyFill="1" applyBorder="1" applyAlignment="1">
      <alignment horizontal="center"/>
    </xf>
    <xf numFmtId="0" fontId="22" fillId="5" borderId="53" xfId="0" applyFont="1" applyFill="1" applyBorder="1" applyAlignment="1">
      <alignment horizontal="right"/>
    </xf>
    <xf numFmtId="10" fontId="8" fillId="6" borderId="54" xfId="1" applyNumberFormat="1" applyFont="1" applyFill="1" applyBorder="1" applyAlignment="1">
      <alignment horizontal="center"/>
    </xf>
    <xf numFmtId="0" fontId="0" fillId="8" borderId="0" xfId="0" applyFill="1" applyBorder="1" applyAlignment="1">
      <alignment horizontal="left" vertical="center" indent="1"/>
    </xf>
    <xf numFmtId="0" fontId="0" fillId="8" borderId="0" xfId="0" applyFont="1" applyFill="1" applyBorder="1" applyAlignment="1">
      <alignment horizontal="left" vertical="center" indent="1"/>
    </xf>
    <xf numFmtId="0" fontId="29" fillId="8" borderId="0" xfId="0" applyFont="1" applyFill="1" applyBorder="1" applyAlignment="1">
      <alignment horizontal="left"/>
    </xf>
    <xf numFmtId="0" fontId="36" fillId="6" borderId="0" xfId="0" applyNumberFormat="1" applyFont="1" applyFill="1" applyBorder="1" applyAlignment="1" applyProtection="1">
      <alignment horizontal="left" vertical="top" wrapText="1"/>
    </xf>
    <xf numFmtId="0" fontId="37" fillId="6" borderId="0" xfId="0" applyFont="1" applyFill="1"/>
    <xf numFmtId="0" fontId="38" fillId="6" borderId="0" xfId="0" applyNumberFormat="1" applyFont="1" applyFill="1" applyBorder="1" applyAlignment="1" applyProtection="1">
      <alignment horizontal="left" vertical="top" wrapText="1"/>
    </xf>
    <xf numFmtId="0" fontId="39" fillId="6" borderId="0" xfId="0" applyFont="1" applyFill="1"/>
    <xf numFmtId="3" fontId="36" fillId="6" borderId="105" xfId="0" applyNumberFormat="1" applyFont="1" applyFill="1" applyBorder="1" applyAlignment="1" applyProtection="1">
      <alignment horizontal="right" vertical="center" wrapText="1"/>
    </xf>
    <xf numFmtId="3" fontId="36" fillId="7" borderId="105" xfId="0" applyNumberFormat="1" applyFont="1" applyFill="1" applyBorder="1" applyAlignment="1" applyProtection="1">
      <alignment horizontal="right" vertical="center" wrapText="1"/>
    </xf>
    <xf numFmtId="3" fontId="36" fillId="7" borderId="106" xfId="0" applyNumberFormat="1" applyFont="1" applyFill="1" applyBorder="1" applyAlignment="1" applyProtection="1">
      <alignment horizontal="right" vertical="center" wrapText="1"/>
    </xf>
    <xf numFmtId="3" fontId="36" fillId="7" borderId="107" xfId="0" applyNumberFormat="1" applyFont="1" applyFill="1" applyBorder="1" applyAlignment="1" applyProtection="1">
      <alignment horizontal="right" vertical="center" wrapText="1"/>
    </xf>
    <xf numFmtId="3" fontId="36" fillId="7" borderId="108" xfId="0" applyNumberFormat="1" applyFont="1" applyFill="1" applyBorder="1" applyAlignment="1" applyProtection="1">
      <alignment horizontal="right" vertical="center" wrapText="1"/>
    </xf>
    <xf numFmtId="3" fontId="36" fillId="6" borderId="109" xfId="0" applyNumberFormat="1" applyFont="1" applyFill="1" applyBorder="1" applyAlignment="1" applyProtection="1">
      <alignment horizontal="right" vertical="center" wrapText="1"/>
    </xf>
    <xf numFmtId="3" fontId="36" fillId="7" borderId="109" xfId="0" applyNumberFormat="1" applyFont="1" applyFill="1" applyBorder="1" applyAlignment="1" applyProtection="1">
      <alignment horizontal="right" vertical="center" wrapText="1"/>
    </xf>
    <xf numFmtId="3" fontId="36" fillId="7" borderId="110" xfId="0" applyNumberFormat="1" applyFont="1" applyFill="1" applyBorder="1" applyAlignment="1" applyProtection="1">
      <alignment horizontal="right" vertical="center" wrapText="1"/>
    </xf>
    <xf numFmtId="0" fontId="36" fillId="6" borderId="34" xfId="0" applyNumberFormat="1" applyFont="1" applyFill="1" applyBorder="1" applyAlignment="1" applyProtection="1">
      <alignment horizontal="left" vertical="top" wrapText="1"/>
    </xf>
    <xf numFmtId="0" fontId="36" fillId="6" borderId="56" xfId="0" applyNumberFormat="1" applyFont="1" applyFill="1" applyBorder="1" applyAlignment="1" applyProtection="1">
      <alignment horizontal="left" vertical="top" wrapText="1"/>
    </xf>
    <xf numFmtId="0" fontId="36" fillId="6" borderId="62" xfId="0" applyNumberFormat="1" applyFont="1" applyFill="1" applyBorder="1" applyAlignment="1" applyProtection="1">
      <alignment horizontal="left" vertical="top" wrapText="1"/>
    </xf>
    <xf numFmtId="3" fontId="36" fillId="7" borderId="111" xfId="0" applyNumberFormat="1" applyFont="1" applyFill="1" applyBorder="1" applyAlignment="1" applyProtection="1">
      <alignment horizontal="right" vertical="center" wrapText="1"/>
    </xf>
    <xf numFmtId="3" fontId="36" fillId="6" borderId="104" xfId="0" applyNumberFormat="1" applyFont="1" applyFill="1" applyBorder="1" applyAlignment="1" applyProtection="1">
      <alignment horizontal="right" vertical="center" wrapText="1"/>
    </xf>
    <xf numFmtId="3" fontId="36" fillId="7" borderId="104" xfId="0" applyNumberFormat="1" applyFont="1" applyFill="1" applyBorder="1" applyAlignment="1" applyProtection="1">
      <alignment horizontal="right" vertical="center" wrapText="1"/>
    </xf>
    <xf numFmtId="3" fontId="36" fillId="7" borderId="112" xfId="0" applyNumberFormat="1" applyFont="1" applyFill="1" applyBorder="1" applyAlignment="1" applyProtection="1">
      <alignment horizontal="right" vertical="center" wrapText="1"/>
    </xf>
    <xf numFmtId="0" fontId="11" fillId="6" borderId="2" xfId="0" applyNumberFormat="1" applyFont="1" applyFill="1" applyBorder="1" applyAlignment="1" applyProtection="1">
      <alignment horizontal="left" vertical="center" wrapText="1"/>
    </xf>
    <xf numFmtId="0" fontId="11" fillId="7" borderId="113" xfId="0" applyNumberFormat="1" applyFont="1" applyFill="1" applyBorder="1" applyAlignment="1" applyProtection="1">
      <alignment horizontal="center" vertical="top" wrapText="1"/>
    </xf>
    <xf numFmtId="0" fontId="11" fillId="6" borderId="114" xfId="0" applyNumberFormat="1" applyFont="1" applyFill="1" applyBorder="1" applyAlignment="1" applyProtection="1">
      <alignment horizontal="center" vertical="top" wrapText="1"/>
    </xf>
    <xf numFmtId="0" fontId="11" fillId="7" borderId="114" xfId="0" applyNumberFormat="1" applyFont="1" applyFill="1" applyBorder="1" applyAlignment="1" applyProtection="1">
      <alignment horizontal="center" vertical="top" wrapText="1"/>
    </xf>
    <xf numFmtId="0" fontId="11" fillId="7" borderId="115" xfId="0" applyNumberFormat="1" applyFont="1" applyFill="1" applyBorder="1" applyAlignment="1" applyProtection="1">
      <alignment horizontal="center" vertical="top" wrapText="1"/>
    </xf>
    <xf numFmtId="0" fontId="33" fillId="11" borderId="2" xfId="0" applyFont="1" applyFill="1" applyBorder="1" applyAlignment="1">
      <alignment horizontal="right"/>
    </xf>
    <xf numFmtId="170" fontId="8" fillId="8" borderId="0" xfId="0" applyNumberFormat="1" applyFont="1" applyFill="1" applyBorder="1" applyAlignment="1">
      <alignment horizontal="center"/>
    </xf>
    <xf numFmtId="0" fontId="40" fillId="8" borderId="0" xfId="0" applyFont="1" applyFill="1" applyBorder="1" applyAlignment="1">
      <alignment horizontal="center"/>
    </xf>
    <xf numFmtId="0" fontId="1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13" xfId="0" applyFont="1" applyFill="1" applyBorder="1" applyAlignment="1">
      <alignment horizontal="center" vertical="center"/>
    </xf>
    <xf numFmtId="44" fontId="0" fillId="0" borderId="0" xfId="0" applyNumberFormat="1"/>
    <xf numFmtId="44" fontId="0" fillId="0" borderId="0" xfId="8" applyFont="1"/>
    <xf numFmtId="44" fontId="8" fillId="8" borderId="2" xfId="0" applyNumberFormat="1" applyFont="1" applyFill="1" applyBorder="1"/>
    <xf numFmtId="0" fontId="0" fillId="2" borderId="0" xfId="0" applyFill="1"/>
    <xf numFmtId="44" fontId="0" fillId="2" borderId="0" xfId="8" applyFont="1" applyFill="1"/>
    <xf numFmtId="165" fontId="2" fillId="8" borderId="0" xfId="0" applyNumberFormat="1" applyFont="1" applyFill="1" applyBorder="1"/>
    <xf numFmtId="180" fontId="8" fillId="6" borderId="48" xfId="1" applyNumberFormat="1" applyFont="1" applyFill="1" applyBorder="1" applyAlignment="1">
      <alignment horizontal="center"/>
    </xf>
    <xf numFmtId="180" fontId="8" fillId="6" borderId="49" xfId="1" applyNumberFormat="1" applyFont="1" applyFill="1" applyBorder="1" applyAlignment="1">
      <alignment horizontal="center"/>
    </xf>
    <xf numFmtId="180" fontId="8" fillId="6" borderId="53" xfId="1" applyNumberFormat="1" applyFont="1" applyFill="1" applyBorder="1" applyAlignment="1">
      <alignment horizontal="center"/>
    </xf>
    <xf numFmtId="180" fontId="8" fillId="6" borderId="54" xfId="1" applyNumberFormat="1" applyFont="1" applyFill="1" applyBorder="1" applyAlignment="1">
      <alignment horizontal="center"/>
    </xf>
    <xf numFmtId="9" fontId="8" fillId="6" borderId="116" xfId="1" applyFont="1" applyFill="1" applyBorder="1" applyAlignment="1">
      <alignment horizontal="center" vertical="center"/>
    </xf>
    <xf numFmtId="9" fontId="16" fillId="5" borderId="116" xfId="1" applyFont="1" applyFill="1" applyBorder="1" applyAlignment="1">
      <alignment horizontal="center"/>
    </xf>
    <xf numFmtId="0" fontId="12" fillId="6" borderId="117" xfId="0" applyFont="1" applyFill="1" applyBorder="1"/>
    <xf numFmtId="9" fontId="8" fillId="6" borderId="119" xfId="1" applyFont="1" applyFill="1" applyBorder="1" applyAlignment="1">
      <alignment horizontal="center" vertical="center"/>
    </xf>
    <xf numFmtId="0" fontId="0" fillId="5" borderId="84" xfId="0" applyFill="1" applyBorder="1" applyAlignment="1">
      <alignment horizontal="right"/>
    </xf>
    <xf numFmtId="0" fontId="0" fillId="5" borderId="88" xfId="0" applyFill="1" applyBorder="1" applyAlignment="1">
      <alignment horizontal="right"/>
    </xf>
    <xf numFmtId="0" fontId="2" fillId="5" borderId="86" xfId="0" applyFont="1" applyFill="1" applyBorder="1" applyAlignment="1">
      <alignment horizontal="right"/>
    </xf>
    <xf numFmtId="165" fontId="8" fillId="8" borderId="52" xfId="0" applyNumberFormat="1" applyFont="1" applyFill="1" applyBorder="1" applyAlignment="1">
      <alignment horizontal="center"/>
    </xf>
    <xf numFmtId="165" fontId="0" fillId="8" borderId="1" xfId="0" applyNumberFormat="1" applyFont="1" applyFill="1" applyBorder="1" applyAlignment="1">
      <alignment horizontal="center"/>
    </xf>
    <xf numFmtId="0" fontId="0" fillId="8" borderId="1" xfId="0" applyFont="1" applyFill="1" applyBorder="1" applyAlignment="1">
      <alignment horizontal="center"/>
    </xf>
    <xf numFmtId="10" fontId="13" fillId="13" borderId="1" xfId="6" applyNumberFormat="1" applyFont="1" applyFill="1" applyBorder="1" applyAlignment="1" applyProtection="1">
      <alignment horizontal="center"/>
      <protection locked="0"/>
    </xf>
    <xf numFmtId="10" fontId="13" fillId="8" borderId="1" xfId="0" applyNumberFormat="1" applyFont="1" applyFill="1" applyBorder="1" applyAlignment="1">
      <alignment horizontal="center"/>
    </xf>
    <xf numFmtId="0" fontId="0" fillId="8" borderId="0" xfId="0" applyFill="1" applyBorder="1" applyAlignment="1">
      <alignment vertical="center"/>
    </xf>
    <xf numFmtId="0" fontId="8" fillId="8" borderId="0" xfId="0" applyFont="1" applyFill="1" applyBorder="1" applyAlignment="1">
      <alignment horizontal="right" vertical="center"/>
    </xf>
    <xf numFmtId="0" fontId="8" fillId="8" borderId="0" xfId="0" applyFont="1" applyFill="1" applyBorder="1" applyAlignment="1">
      <alignment horizontal="left" vertical="center"/>
    </xf>
    <xf numFmtId="0" fontId="0" fillId="8" borderId="6" xfId="0" applyFill="1" applyBorder="1" applyAlignment="1">
      <alignment vertical="center"/>
    </xf>
    <xf numFmtId="44" fontId="18" fillId="8" borderId="93" xfId="0" applyNumberFormat="1" applyFont="1" applyFill="1" applyBorder="1" applyAlignment="1"/>
    <xf numFmtId="44" fontId="21" fillId="8" borderId="93" xfId="0" applyNumberFormat="1" applyFont="1" applyFill="1" applyBorder="1"/>
    <xf numFmtId="0" fontId="18" fillId="8" borderId="93" xfId="0" applyFont="1" applyFill="1" applyBorder="1" applyAlignment="1">
      <alignment horizontal="left"/>
    </xf>
    <xf numFmtId="10" fontId="21" fillId="8" borderId="93" xfId="0" applyNumberFormat="1" applyFont="1" applyFill="1" applyBorder="1"/>
    <xf numFmtId="0" fontId="18" fillId="8" borderId="93" xfId="0" applyFont="1" applyFill="1" applyBorder="1" applyAlignment="1">
      <alignment horizontal="center"/>
    </xf>
    <xf numFmtId="0" fontId="21" fillId="8" borderId="93" xfId="0" applyFont="1" applyFill="1" applyBorder="1"/>
    <xf numFmtId="0" fontId="18" fillId="8" borderId="84" xfId="0" applyFont="1" applyFill="1" applyBorder="1" applyAlignment="1">
      <alignment horizontal="center"/>
    </xf>
    <xf numFmtId="0" fontId="18" fillId="8" borderId="121" xfId="0" applyFont="1" applyFill="1" applyBorder="1" applyAlignment="1">
      <alignment horizontal="center"/>
    </xf>
    <xf numFmtId="0" fontId="18" fillId="8" borderId="85" xfId="0" applyFont="1" applyFill="1" applyBorder="1" applyAlignment="1">
      <alignment horizontal="center"/>
    </xf>
    <xf numFmtId="0" fontId="14" fillId="8" borderId="88" xfId="0" applyFont="1" applyFill="1" applyBorder="1" applyAlignment="1">
      <alignment horizontal="center"/>
    </xf>
    <xf numFmtId="0" fontId="6" fillId="8" borderId="89" xfId="0" applyFont="1" applyFill="1" applyBorder="1"/>
    <xf numFmtId="0" fontId="6" fillId="8" borderId="88" xfId="0" applyFont="1" applyFill="1" applyBorder="1"/>
    <xf numFmtId="0" fontId="6" fillId="8" borderId="88" xfId="0" applyFont="1" applyFill="1" applyBorder="1" applyAlignment="1">
      <alignment horizontal="center"/>
    </xf>
    <xf numFmtId="0" fontId="6" fillId="8" borderId="89" xfId="0" applyFont="1" applyFill="1" applyBorder="1" applyAlignment="1">
      <alignment horizontal="center"/>
    </xf>
    <xf numFmtId="0" fontId="6" fillId="8" borderId="86" xfId="0" applyFont="1" applyFill="1" applyBorder="1" applyAlignment="1">
      <alignment horizontal="center"/>
    </xf>
    <xf numFmtId="170" fontId="6" fillId="8" borderId="122" xfId="0" applyNumberFormat="1" applyFont="1" applyFill="1" applyBorder="1"/>
    <xf numFmtId="0" fontId="6" fillId="8" borderId="122" xfId="0" applyFont="1" applyFill="1" applyBorder="1"/>
    <xf numFmtId="44" fontId="6" fillId="8" borderId="122" xfId="0" applyNumberFormat="1" applyFont="1" applyFill="1" applyBorder="1"/>
    <xf numFmtId="0" fontId="6" fillId="8" borderId="87" xfId="0" applyFont="1" applyFill="1" applyBorder="1" applyAlignment="1">
      <alignment horizontal="center"/>
    </xf>
    <xf numFmtId="0" fontId="3" fillId="8" borderId="9" xfId="0" applyFont="1" applyFill="1" applyBorder="1" applyAlignment="1">
      <alignment horizontal="left" vertical="center"/>
    </xf>
    <xf numFmtId="0" fontId="0" fillId="8" borderId="1" xfId="0" applyFill="1" applyBorder="1"/>
    <xf numFmtId="0" fontId="8" fillId="6" borderId="60" xfId="1" applyNumberFormat="1" applyFont="1" applyFill="1" applyBorder="1" applyAlignment="1">
      <alignment horizontal="center" vertical="center"/>
    </xf>
    <xf numFmtId="0" fontId="0" fillId="5" borderId="21" xfId="0" applyFill="1" applyBorder="1" applyAlignment="1">
      <alignment horizontal="right"/>
    </xf>
    <xf numFmtId="44" fontId="0" fillId="0" borderId="0" xfId="8" applyFont="1" applyBorder="1"/>
    <xf numFmtId="0" fontId="0" fillId="0" borderId="76" xfId="0" applyBorder="1"/>
    <xf numFmtId="44" fontId="0" fillId="0" borderId="76" xfId="8" applyFont="1" applyBorder="1"/>
    <xf numFmtId="0" fontId="0" fillId="0" borderId="78" xfId="0" applyBorder="1"/>
    <xf numFmtId="44" fontId="0" fillId="0" borderId="78" xfId="8" applyFont="1" applyBorder="1"/>
    <xf numFmtId="0" fontId="0" fillId="0" borderId="65" xfId="0" applyBorder="1"/>
    <xf numFmtId="44" fontId="0" fillId="0" borderId="65" xfId="8" applyFont="1" applyBorder="1"/>
    <xf numFmtId="0" fontId="0" fillId="0" borderId="79" xfId="0" applyBorder="1"/>
    <xf numFmtId="44" fontId="0" fillId="0" borderId="83" xfId="8" applyFont="1" applyBorder="1"/>
    <xf numFmtId="0" fontId="0" fillId="0" borderId="80" xfId="0" applyBorder="1"/>
    <xf numFmtId="44" fontId="0" fillId="0" borderId="81" xfId="8" applyFont="1" applyBorder="1"/>
    <xf numFmtId="0" fontId="0" fillId="0" borderId="22" xfId="0" applyBorder="1" applyAlignment="1">
      <alignment horizontal="left" vertical="center"/>
    </xf>
    <xf numFmtId="0" fontId="0" fillId="0" borderId="82" xfId="0" applyBorder="1" applyAlignment="1">
      <alignment horizontal="left" vertical="center"/>
    </xf>
    <xf numFmtId="0" fontId="0" fillId="0" borderId="0" xfId="0" applyAlignment="1">
      <alignment horizontal="center"/>
    </xf>
    <xf numFmtId="0" fontId="2" fillId="11" borderId="28" xfId="0" applyFont="1" applyFill="1" applyBorder="1" applyAlignment="1">
      <alignment horizontal="center"/>
    </xf>
    <xf numFmtId="168" fontId="0" fillId="8" borderId="28" xfId="3" applyNumberFormat="1" applyFont="1" applyFill="1" applyBorder="1"/>
    <xf numFmtId="168" fontId="0" fillId="6" borderId="28" xfId="3" applyNumberFormat="1" applyFont="1" applyFill="1" applyBorder="1"/>
    <xf numFmtId="0" fontId="0" fillId="5" borderId="123" xfId="0" applyFill="1" applyBorder="1" applyAlignment="1">
      <alignment horizontal="right"/>
    </xf>
    <xf numFmtId="0" fontId="2" fillId="11" borderId="124" xfId="0" applyFont="1" applyFill="1" applyBorder="1" applyAlignment="1">
      <alignment horizontal="center"/>
    </xf>
    <xf numFmtId="165" fontId="8" fillId="8" borderId="120" xfId="0" applyNumberFormat="1" applyFont="1" applyFill="1" applyBorder="1" applyAlignment="1">
      <alignment horizontal="center"/>
    </xf>
    <xf numFmtId="165" fontId="8" fillId="6" borderId="120" xfId="0" applyNumberFormat="1" applyFont="1" applyFill="1" applyBorder="1" applyAlignment="1">
      <alignment horizontal="center"/>
    </xf>
    <xf numFmtId="0" fontId="25" fillId="8" borderId="125" xfId="0" applyFont="1" applyFill="1" applyBorder="1" applyAlignment="1" applyProtection="1">
      <alignment horizontal="center" vertical="center"/>
    </xf>
    <xf numFmtId="0" fontId="0" fillId="5" borderId="126" xfId="0" applyFill="1" applyBorder="1" applyAlignment="1">
      <alignment horizontal="right"/>
    </xf>
    <xf numFmtId="14" fontId="0" fillId="6" borderId="47" xfId="0" applyNumberFormat="1" applyFill="1" applyBorder="1" applyAlignment="1">
      <alignment horizontal="center"/>
    </xf>
    <xf numFmtId="0" fontId="0" fillId="8" borderId="47" xfId="0" applyFill="1" applyBorder="1" applyAlignment="1">
      <alignment horizontal="center"/>
    </xf>
    <xf numFmtId="0" fontId="0" fillId="8" borderId="66" xfId="0" applyFill="1" applyBorder="1" applyAlignment="1">
      <alignment horizontal="center"/>
    </xf>
    <xf numFmtId="0" fontId="27" fillId="11" borderId="20" xfId="0" applyFont="1" applyFill="1" applyBorder="1" applyAlignment="1">
      <alignment horizontal="right"/>
    </xf>
    <xf numFmtId="0" fontId="27" fillId="11" borderId="20" xfId="0" applyFont="1" applyFill="1" applyBorder="1" applyAlignment="1">
      <alignment horizontal="center"/>
    </xf>
    <xf numFmtId="0" fontId="27" fillId="11" borderId="2" xfId="0" applyFont="1" applyFill="1" applyBorder="1" applyAlignment="1">
      <alignment horizontal="center"/>
    </xf>
    <xf numFmtId="1" fontId="8" fillId="6" borderId="47" xfId="1" applyNumberFormat="1" applyFont="1" applyFill="1" applyBorder="1" applyAlignment="1">
      <alignment horizontal="center" vertical="center"/>
    </xf>
    <xf numFmtId="9" fontId="8" fillId="8" borderId="47" xfId="1" applyFont="1" applyFill="1" applyBorder="1" applyAlignment="1">
      <alignment horizontal="center" vertical="center"/>
    </xf>
    <xf numFmtId="164" fontId="8" fillId="8" borderId="47" xfId="1" applyNumberFormat="1" applyFont="1" applyFill="1" applyBorder="1" applyAlignment="1">
      <alignment horizontal="center" vertical="center"/>
    </xf>
    <xf numFmtId="164" fontId="8" fillId="8" borderId="66" xfId="1" applyNumberFormat="1" applyFont="1" applyFill="1" applyBorder="1" applyAlignment="1">
      <alignment horizontal="center" vertical="center"/>
    </xf>
    <xf numFmtId="167" fontId="8" fillId="8" borderId="48" xfId="0" applyNumberFormat="1" applyFont="1" applyFill="1" applyBorder="1" applyAlignment="1">
      <alignment horizontal="center"/>
    </xf>
    <xf numFmtId="167" fontId="8" fillId="8" borderId="49" xfId="0" applyNumberFormat="1" applyFont="1" applyFill="1" applyBorder="1" applyAlignment="1">
      <alignment horizontal="center"/>
    </xf>
    <xf numFmtId="172" fontId="16" fillId="5" borderId="50" xfId="1" applyNumberFormat="1" applyFont="1" applyFill="1" applyBorder="1" applyAlignment="1">
      <alignment horizontal="center"/>
    </xf>
    <xf numFmtId="167" fontId="8" fillId="6" borderId="51" xfId="0" applyNumberFormat="1" applyFont="1" applyFill="1" applyBorder="1" applyAlignment="1">
      <alignment horizontal="center"/>
    </xf>
    <xf numFmtId="167" fontId="8" fillId="6" borderId="46" xfId="0" applyNumberFormat="1" applyFont="1" applyFill="1" applyBorder="1" applyAlignment="1">
      <alignment horizontal="center"/>
    </xf>
    <xf numFmtId="172" fontId="16" fillId="5" borderId="52" xfId="1" applyNumberFormat="1" applyFont="1" applyFill="1" applyBorder="1" applyAlignment="1">
      <alignment horizontal="center"/>
    </xf>
    <xf numFmtId="0" fontId="25" fillId="8" borderId="53" xfId="0" applyFont="1" applyFill="1" applyBorder="1" applyAlignment="1" applyProtection="1">
      <alignment horizontal="center" vertical="center"/>
    </xf>
    <xf numFmtId="1" fontId="8" fillId="6" borderId="127" xfId="1" applyNumberFormat="1" applyFont="1" applyFill="1" applyBorder="1" applyAlignment="1">
      <alignment horizontal="center" vertical="center"/>
    </xf>
    <xf numFmtId="1" fontId="8" fillId="6" borderId="120" xfId="1" applyNumberFormat="1" applyFont="1" applyFill="1" applyBorder="1" applyAlignment="1">
      <alignment horizontal="center" vertical="center"/>
    </xf>
    <xf numFmtId="1" fontId="8" fillId="8" borderId="125" xfId="1" applyNumberFormat="1" applyFont="1" applyFill="1" applyBorder="1" applyAlignment="1">
      <alignment horizontal="center" vertical="center"/>
    </xf>
    <xf numFmtId="0" fontId="0" fillId="5" borderId="128" xfId="0" applyFill="1" applyBorder="1" applyAlignment="1">
      <alignment horizontal="right"/>
    </xf>
    <xf numFmtId="0" fontId="0" fillId="8" borderId="56" xfId="0" applyFill="1" applyBorder="1" applyAlignment="1">
      <alignment horizontal="right"/>
    </xf>
    <xf numFmtId="0" fontId="12" fillId="6" borderId="128" xfId="0" applyFont="1" applyFill="1" applyBorder="1"/>
    <xf numFmtId="165" fontId="8" fillId="8" borderId="49" xfId="0" applyNumberFormat="1" applyFont="1" applyFill="1" applyBorder="1" applyAlignment="1">
      <alignment horizontal="center" vertical="center"/>
    </xf>
    <xf numFmtId="1" fontId="16" fillId="5" borderId="49" xfId="1" applyNumberFormat="1" applyFont="1" applyFill="1" applyBorder="1" applyAlignment="1">
      <alignment horizontal="center"/>
    </xf>
    <xf numFmtId="10" fontId="8" fillId="8" borderId="46" xfId="0" applyNumberFormat="1" applyFont="1" applyFill="1" applyBorder="1" applyAlignment="1">
      <alignment horizontal="center" vertical="center"/>
    </xf>
    <xf numFmtId="9" fontId="16" fillId="5" borderId="46" xfId="1" applyFont="1" applyFill="1" applyBorder="1" applyAlignment="1">
      <alignment horizontal="center"/>
    </xf>
    <xf numFmtId="9" fontId="8" fillId="6" borderId="49" xfId="1" applyFont="1" applyFill="1" applyBorder="1" applyAlignment="1">
      <alignment horizontal="center" vertical="center"/>
    </xf>
    <xf numFmtId="9" fontId="16" fillId="5" borderId="49" xfId="1" applyFont="1" applyFill="1" applyBorder="1" applyAlignment="1">
      <alignment horizontal="center"/>
    </xf>
    <xf numFmtId="9" fontId="8" fillId="6" borderId="46" xfId="1" applyFont="1" applyFill="1" applyBorder="1" applyAlignment="1">
      <alignment horizontal="center" vertical="center"/>
    </xf>
    <xf numFmtId="174" fontId="8" fillId="8" borderId="49" xfId="1" applyNumberFormat="1" applyFont="1" applyFill="1" applyBorder="1" applyAlignment="1">
      <alignment horizontal="center"/>
    </xf>
    <xf numFmtId="174" fontId="16" fillId="5" borderId="50" xfId="1" applyNumberFormat="1" applyFont="1" applyFill="1" applyBorder="1" applyAlignment="1">
      <alignment horizontal="center"/>
    </xf>
    <xf numFmtId="174" fontId="8" fillId="6" borderId="46" xfId="1" applyNumberFormat="1" applyFont="1" applyFill="1" applyBorder="1" applyAlignment="1">
      <alignment horizontal="center"/>
    </xf>
    <xf numFmtId="174" fontId="16" fillId="5" borderId="52" xfId="1" applyNumberFormat="1" applyFont="1" applyFill="1" applyBorder="1" applyAlignment="1">
      <alignment horizontal="center"/>
    </xf>
    <xf numFmtId="0" fontId="12" fillId="6" borderId="56" xfId="0" applyFont="1" applyFill="1" applyBorder="1"/>
    <xf numFmtId="0" fontId="28" fillId="11" borderId="20" xfId="0" applyFont="1" applyFill="1" applyBorder="1" applyAlignment="1">
      <alignment horizontal="left"/>
    </xf>
    <xf numFmtId="0" fontId="7" fillId="11" borderId="19" xfId="0" applyFont="1" applyFill="1" applyBorder="1" applyAlignment="1">
      <alignment horizontal="left"/>
    </xf>
    <xf numFmtId="0" fontId="7" fillId="11" borderId="13" xfId="0" applyFont="1" applyFill="1" applyBorder="1"/>
    <xf numFmtId="0" fontId="6" fillId="11" borderId="2" xfId="0" applyFont="1" applyFill="1" applyBorder="1" applyAlignment="1">
      <alignment horizontal="center" vertical="center"/>
    </xf>
    <xf numFmtId="0" fontId="6" fillId="11" borderId="2" xfId="0" applyFont="1" applyFill="1" applyBorder="1" applyAlignment="1">
      <alignment horizontal="left" vertical="center"/>
    </xf>
    <xf numFmtId="0" fontId="6" fillId="11" borderId="13" xfId="0" applyFont="1" applyFill="1" applyBorder="1" applyAlignment="1">
      <alignment horizontal="center" vertical="center"/>
    </xf>
    <xf numFmtId="0" fontId="28" fillId="11" borderId="21" xfId="0" applyFont="1" applyFill="1" applyBorder="1"/>
    <xf numFmtId="0" fontId="0" fillId="11" borderId="13" xfId="0" applyFill="1" applyBorder="1" applyAlignment="1">
      <alignment horizontal="left"/>
    </xf>
    <xf numFmtId="0" fontId="2" fillId="11" borderId="2" xfId="0" applyFont="1" applyFill="1" applyBorder="1" applyAlignment="1">
      <alignment horizontal="center"/>
    </xf>
    <xf numFmtId="0" fontId="27" fillId="11" borderId="129" xfId="0" applyFont="1" applyFill="1" applyBorder="1" applyAlignment="1">
      <alignment horizontal="right"/>
    </xf>
    <xf numFmtId="0" fontId="2" fillId="11" borderId="129" xfId="0" applyFont="1" applyFill="1" applyBorder="1" applyAlignment="1">
      <alignment horizontal="center"/>
    </xf>
    <xf numFmtId="0" fontId="2" fillId="11" borderId="130" xfId="0" applyFont="1" applyFill="1" applyBorder="1" applyAlignment="1">
      <alignment horizontal="center"/>
    </xf>
    <xf numFmtId="0" fontId="2" fillId="11" borderId="131" xfId="0" applyFont="1" applyFill="1" applyBorder="1" applyAlignment="1">
      <alignment horizontal="center"/>
    </xf>
    <xf numFmtId="0" fontId="2" fillId="11" borderId="77" xfId="0" applyFont="1" applyFill="1" applyBorder="1" applyAlignment="1">
      <alignment horizontal="center"/>
    </xf>
    <xf numFmtId="0" fontId="2" fillId="11" borderId="24" xfId="0" applyFont="1" applyFill="1" applyBorder="1" applyAlignment="1">
      <alignment horizontal="center"/>
    </xf>
    <xf numFmtId="0" fontId="2" fillId="11" borderId="11" xfId="0" applyFont="1" applyFill="1" applyBorder="1" applyAlignment="1">
      <alignment horizontal="center"/>
    </xf>
    <xf numFmtId="0" fontId="2" fillId="11" borderId="16" xfId="0" applyFont="1" applyFill="1" applyBorder="1" applyAlignment="1">
      <alignment horizontal="center"/>
    </xf>
    <xf numFmtId="0" fontId="7" fillId="11" borderId="19" xfId="0" applyFont="1" applyFill="1" applyBorder="1"/>
    <xf numFmtId="0" fontId="28" fillId="11" borderId="13" xfId="0" applyFont="1" applyFill="1" applyBorder="1"/>
    <xf numFmtId="0" fontId="2" fillId="11" borderId="17" xfId="0" applyFont="1" applyFill="1" applyBorder="1" applyAlignment="1">
      <alignment horizontal="center"/>
    </xf>
    <xf numFmtId="0" fontId="2" fillId="11" borderId="118" xfId="0" applyFont="1" applyFill="1" applyBorder="1" applyAlignment="1">
      <alignment horizontal="center"/>
    </xf>
    <xf numFmtId="0" fontId="2" fillId="11" borderId="59" xfId="0" applyFont="1" applyFill="1" applyBorder="1" applyAlignment="1">
      <alignment horizontal="center"/>
    </xf>
    <xf numFmtId="0" fontId="2" fillId="11" borderId="60" xfId="0" applyFont="1" applyFill="1" applyBorder="1" applyAlignment="1">
      <alignment horizontal="center"/>
    </xf>
    <xf numFmtId="0" fontId="2" fillId="11" borderId="21" xfId="0" applyFont="1" applyFill="1" applyBorder="1" applyAlignment="1">
      <alignment horizontal="center"/>
    </xf>
    <xf numFmtId="0" fontId="28" fillId="11" borderId="19" xfId="0" applyFont="1" applyFill="1" applyBorder="1"/>
    <xf numFmtId="0" fontId="34" fillId="25" borderId="77" xfId="0" applyFont="1" applyFill="1" applyBorder="1" applyAlignment="1">
      <alignment horizontal="right" vertical="center"/>
    </xf>
    <xf numFmtId="0" fontId="34" fillId="25" borderId="75" xfId="0" applyFont="1" applyFill="1" applyBorder="1" applyAlignment="1">
      <alignment horizontal="right" vertical="center"/>
    </xf>
    <xf numFmtId="0" fontId="34" fillId="25" borderId="33" xfId="0" applyFont="1" applyFill="1" applyBorder="1" applyAlignment="1">
      <alignment horizontal="right" vertical="center"/>
    </xf>
    <xf numFmtId="0" fontId="29" fillId="25" borderId="96" xfId="0" applyFont="1" applyFill="1" applyBorder="1" applyAlignment="1">
      <alignment horizontal="left"/>
    </xf>
    <xf numFmtId="0" fontId="29" fillId="25" borderId="97" xfId="0" applyFont="1" applyFill="1" applyBorder="1" applyAlignment="1">
      <alignment horizontal="left"/>
    </xf>
    <xf numFmtId="0" fontId="29" fillId="25" borderId="98" xfId="0" applyFont="1" applyFill="1" applyBorder="1" applyAlignment="1">
      <alignment horizontal="left"/>
    </xf>
    <xf numFmtId="0" fontId="29" fillId="25" borderId="99" xfId="0" applyFont="1" applyFill="1" applyBorder="1" applyAlignment="1">
      <alignment horizontal="left"/>
    </xf>
    <xf numFmtId="0" fontId="29" fillId="25" borderId="95" xfId="0" applyFont="1" applyFill="1" applyBorder="1" applyAlignment="1">
      <alignment horizontal="left"/>
    </xf>
    <xf numFmtId="0" fontId="29" fillId="25" borderId="100" xfId="0" applyFont="1" applyFill="1" applyBorder="1" applyAlignment="1">
      <alignment horizontal="left"/>
    </xf>
    <xf numFmtId="2" fontId="8" fillId="6" borderId="22" xfId="1" applyNumberFormat="1" applyFont="1" applyFill="1" applyBorder="1" applyAlignment="1">
      <alignment horizontal="left" vertical="top" wrapText="1"/>
    </xf>
    <xf numFmtId="2" fontId="8" fillId="6" borderId="78" xfId="1" applyNumberFormat="1" applyFont="1" applyFill="1" applyBorder="1" applyAlignment="1">
      <alignment horizontal="left" vertical="top" wrapText="1"/>
    </xf>
    <xf numFmtId="2" fontId="8" fillId="6" borderId="79" xfId="1" applyNumberFormat="1" applyFont="1" applyFill="1" applyBorder="1" applyAlignment="1">
      <alignment horizontal="left" vertical="top" wrapText="1"/>
    </xf>
    <xf numFmtId="2" fontId="8" fillId="6" borderId="82" xfId="1" applyNumberFormat="1" applyFont="1" applyFill="1" applyBorder="1" applyAlignment="1">
      <alignment horizontal="left" vertical="top" wrapText="1"/>
    </xf>
    <xf numFmtId="2" fontId="8" fillId="6" borderId="0" xfId="1" applyNumberFormat="1" applyFont="1" applyFill="1" applyBorder="1" applyAlignment="1">
      <alignment horizontal="left" vertical="top" wrapText="1"/>
    </xf>
    <xf numFmtId="2" fontId="8" fillId="6" borderId="83" xfId="1" applyNumberFormat="1" applyFont="1" applyFill="1" applyBorder="1" applyAlignment="1">
      <alignment horizontal="left" vertical="top" wrapText="1"/>
    </xf>
    <xf numFmtId="2" fontId="8" fillId="6" borderId="80" xfId="1" applyNumberFormat="1" applyFont="1" applyFill="1" applyBorder="1" applyAlignment="1">
      <alignment horizontal="left" vertical="top" wrapText="1"/>
    </xf>
    <xf numFmtId="2" fontId="8" fillId="6" borderId="76" xfId="1" applyNumberFormat="1" applyFont="1" applyFill="1" applyBorder="1" applyAlignment="1">
      <alignment horizontal="left" vertical="top" wrapText="1"/>
    </xf>
    <xf numFmtId="2" fontId="8" fillId="6" borderId="81" xfId="1" applyNumberFormat="1" applyFont="1" applyFill="1" applyBorder="1" applyAlignment="1">
      <alignment horizontal="left" vertical="top" wrapText="1"/>
    </xf>
    <xf numFmtId="0" fontId="34" fillId="24" borderId="77" xfId="0" applyFont="1" applyFill="1" applyBorder="1" applyAlignment="1">
      <alignment horizontal="right" vertical="center"/>
    </xf>
    <xf numFmtId="0" fontId="34" fillId="24" borderId="75" xfId="0" applyFont="1" applyFill="1" applyBorder="1" applyAlignment="1">
      <alignment horizontal="right" vertical="center"/>
    </xf>
    <xf numFmtId="0" fontId="34" fillId="24" borderId="33" xfId="0" applyFont="1" applyFill="1" applyBorder="1" applyAlignment="1">
      <alignment horizontal="right" vertical="center"/>
    </xf>
    <xf numFmtId="0" fontId="29" fillId="24" borderId="96" xfId="0" applyFont="1" applyFill="1" applyBorder="1" applyAlignment="1">
      <alignment horizontal="left"/>
    </xf>
    <xf numFmtId="0" fontId="29" fillId="24" borderId="97" xfId="0" applyFont="1" applyFill="1" applyBorder="1" applyAlignment="1">
      <alignment horizontal="left"/>
    </xf>
    <xf numFmtId="0" fontId="29" fillId="24" borderId="98" xfId="0" applyFont="1" applyFill="1" applyBorder="1" applyAlignment="1">
      <alignment horizontal="left"/>
    </xf>
    <xf numFmtId="0" fontId="29" fillId="24" borderId="99" xfId="0" applyFont="1" applyFill="1" applyBorder="1" applyAlignment="1">
      <alignment horizontal="left"/>
    </xf>
    <xf numFmtId="0" fontId="29" fillId="24" borderId="95" xfId="0" applyFont="1" applyFill="1" applyBorder="1" applyAlignment="1">
      <alignment horizontal="left"/>
    </xf>
    <xf numFmtId="0" fontId="29" fillId="24" borderId="100" xfId="0" applyFont="1" applyFill="1" applyBorder="1" applyAlignment="1">
      <alignment horizontal="left"/>
    </xf>
    <xf numFmtId="0" fontId="29" fillId="24" borderId="101" xfId="0" applyFont="1" applyFill="1" applyBorder="1" applyAlignment="1">
      <alignment horizontal="left"/>
    </xf>
    <xf numFmtId="0" fontId="29" fillId="24" borderId="102" xfId="0" applyFont="1" applyFill="1" applyBorder="1" applyAlignment="1">
      <alignment horizontal="left"/>
    </xf>
    <xf numFmtId="0" fontId="29" fillId="24" borderId="103" xfId="0" applyFont="1" applyFill="1" applyBorder="1" applyAlignment="1">
      <alignment horizontal="left"/>
    </xf>
    <xf numFmtId="0" fontId="6" fillId="5" borderId="1" xfId="0" applyFont="1" applyFill="1" applyBorder="1" applyAlignment="1">
      <alignment horizontal="center" vertical="center" wrapText="1"/>
    </xf>
    <xf numFmtId="0" fontId="34" fillId="22" borderId="77" xfId="0" applyFont="1" applyFill="1" applyBorder="1" applyAlignment="1">
      <alignment horizontal="right" vertical="center"/>
    </xf>
    <xf numFmtId="0" fontId="34" fillId="22" borderId="75" xfId="0" applyFont="1" applyFill="1" applyBorder="1" applyAlignment="1">
      <alignment horizontal="right" vertical="center"/>
    </xf>
    <xf numFmtId="0" fontId="34" fillId="22" borderId="33" xfId="0" applyFont="1" applyFill="1" applyBorder="1" applyAlignment="1">
      <alignment horizontal="right" vertical="center"/>
    </xf>
    <xf numFmtId="0" fontId="34" fillId="5" borderId="77" xfId="0" applyFont="1" applyFill="1" applyBorder="1" applyAlignment="1">
      <alignment horizontal="right" vertical="center"/>
    </xf>
    <xf numFmtId="0" fontId="34" fillId="5" borderId="75" xfId="0" applyFont="1" applyFill="1" applyBorder="1" applyAlignment="1">
      <alignment horizontal="right" vertical="center"/>
    </xf>
    <xf numFmtId="0" fontId="34" fillId="5" borderId="33" xfId="0" applyFont="1" applyFill="1" applyBorder="1" applyAlignment="1">
      <alignment horizontal="right" vertical="center"/>
    </xf>
    <xf numFmtId="0" fontId="29" fillId="6" borderId="96" xfId="0" applyFont="1" applyFill="1" applyBorder="1" applyAlignment="1">
      <alignment horizontal="left" vertical="center"/>
    </xf>
    <xf numFmtId="0" fontId="29" fillId="6" borderId="97" xfId="0" applyFont="1" applyFill="1" applyBorder="1" applyAlignment="1">
      <alignment horizontal="left" vertical="center"/>
    </xf>
    <xf numFmtId="0" fontId="29" fillId="6" borderId="98" xfId="0" applyFont="1" applyFill="1" applyBorder="1" applyAlignment="1">
      <alignment horizontal="left" vertical="center"/>
    </xf>
    <xf numFmtId="0" fontId="29" fillId="6" borderId="99" xfId="0" applyFont="1" applyFill="1" applyBorder="1" applyAlignment="1">
      <alignment horizontal="left" vertical="center"/>
    </xf>
    <xf numFmtId="0" fontId="29" fillId="6" borderId="95" xfId="0" applyFont="1" applyFill="1" applyBorder="1" applyAlignment="1">
      <alignment horizontal="left" vertical="center"/>
    </xf>
    <xf numFmtId="0" fontId="29" fillId="6" borderId="100" xfId="0" applyFont="1" applyFill="1" applyBorder="1" applyAlignment="1">
      <alignment horizontal="left" vertical="center"/>
    </xf>
    <xf numFmtId="0" fontId="29" fillId="6" borderId="101" xfId="0" applyFont="1" applyFill="1" applyBorder="1" applyAlignment="1">
      <alignment horizontal="left" vertical="center"/>
    </xf>
    <xf numFmtId="0" fontId="29" fillId="6" borderId="102" xfId="0" applyFont="1" applyFill="1" applyBorder="1" applyAlignment="1">
      <alignment horizontal="left" vertical="center"/>
    </xf>
    <xf numFmtId="0" fontId="29" fillId="6" borderId="103" xfId="0" applyFont="1" applyFill="1" applyBorder="1" applyAlignment="1">
      <alignment horizontal="left" vertical="center"/>
    </xf>
    <xf numFmtId="4" fontId="13" fillId="8" borderId="14" xfId="0" applyNumberFormat="1" applyFont="1" applyFill="1" applyBorder="1" applyAlignment="1">
      <alignment horizontal="center"/>
    </xf>
    <xf numFmtId="4" fontId="13" fillId="8" borderId="15" xfId="0" applyNumberFormat="1" applyFont="1" applyFill="1" applyBorder="1" applyAlignment="1">
      <alignment horizontal="center"/>
    </xf>
    <xf numFmtId="2" fontId="16" fillId="14" borderId="11" xfId="1" applyNumberFormat="1" applyFont="1" applyFill="1" applyBorder="1" applyAlignment="1">
      <alignment horizontal="center"/>
    </xf>
    <xf numFmtId="2" fontId="16" fillId="14" borderId="16" xfId="1" applyNumberFormat="1" applyFont="1" applyFill="1" applyBorder="1" applyAlignment="1">
      <alignment horizontal="center"/>
    </xf>
    <xf numFmtId="2" fontId="16" fillId="14" borderId="17" xfId="1" applyNumberFormat="1" applyFont="1" applyFill="1" applyBorder="1" applyAlignment="1">
      <alignment horizontal="center"/>
    </xf>
    <xf numFmtId="0" fontId="16" fillId="5" borderId="1" xfId="0" applyFont="1" applyFill="1" applyBorder="1" applyAlignment="1">
      <alignment horizontal="center"/>
    </xf>
    <xf numFmtId="168" fontId="13" fillId="6" borderId="1" xfId="3" applyNumberFormat="1" applyFont="1" applyFill="1" applyBorder="1" applyAlignment="1">
      <alignment horizontal="left" vertical="center"/>
    </xf>
    <xf numFmtId="0" fontId="34" fillId="25" borderId="20" xfId="0" applyFont="1" applyFill="1" applyBorder="1" applyAlignment="1">
      <alignment horizontal="center" vertical="center"/>
    </xf>
    <xf numFmtId="0" fontId="34" fillId="25" borderId="19" xfId="0" applyFont="1" applyFill="1" applyBorder="1" applyAlignment="1">
      <alignment horizontal="center" vertical="center"/>
    </xf>
    <xf numFmtId="0" fontId="34" fillId="25" borderId="13" xfId="0" applyFont="1" applyFill="1" applyBorder="1" applyAlignment="1">
      <alignment horizontal="center" vertical="center"/>
    </xf>
    <xf numFmtId="0" fontId="34" fillId="21" borderId="20" xfId="0" applyFont="1" applyFill="1" applyBorder="1" applyAlignment="1">
      <alignment horizontal="center"/>
    </xf>
    <xf numFmtId="0" fontId="34" fillId="21" borderId="19" xfId="0" applyFont="1" applyFill="1" applyBorder="1" applyAlignment="1">
      <alignment horizontal="center"/>
    </xf>
    <xf numFmtId="0" fontId="34" fillId="21" borderId="13" xfId="0" applyFont="1" applyFill="1" applyBorder="1" applyAlignment="1">
      <alignment horizontal="center"/>
    </xf>
    <xf numFmtId="0" fontId="34" fillId="26" borderId="20" xfId="0" applyFont="1" applyFill="1" applyBorder="1" applyAlignment="1">
      <alignment horizontal="center"/>
    </xf>
    <xf numFmtId="0" fontId="34" fillId="26" borderId="19" xfId="0" applyFont="1" applyFill="1" applyBorder="1" applyAlignment="1">
      <alignment horizontal="center"/>
    </xf>
    <xf numFmtId="0" fontId="34" fillId="26" borderId="13" xfId="0" applyFont="1" applyFill="1" applyBorder="1" applyAlignment="1">
      <alignment horizontal="center"/>
    </xf>
    <xf numFmtId="0" fontId="29" fillId="6" borderId="101" xfId="0" applyFont="1" applyFill="1" applyBorder="1" applyAlignment="1">
      <alignment horizontal="left"/>
    </xf>
    <xf numFmtId="0" fontId="29" fillId="6" borderId="102" xfId="0" applyFont="1" applyFill="1" applyBorder="1" applyAlignment="1">
      <alignment horizontal="left"/>
    </xf>
    <xf numFmtId="0" fontId="29" fillId="6" borderId="103" xfId="0" applyFont="1" applyFill="1" applyBorder="1" applyAlignment="1">
      <alignment horizontal="left"/>
    </xf>
    <xf numFmtId="0" fontId="34" fillId="10" borderId="20" xfId="0" applyFont="1" applyFill="1" applyBorder="1" applyAlignment="1">
      <alignment horizontal="center"/>
    </xf>
    <xf numFmtId="0" fontId="34" fillId="10" borderId="19" xfId="0" applyFont="1" applyFill="1" applyBorder="1" applyAlignment="1">
      <alignment horizontal="center"/>
    </xf>
    <xf numFmtId="0" fontId="34" fillId="10" borderId="13" xfId="0" applyFont="1" applyFill="1" applyBorder="1" applyAlignment="1">
      <alignment horizontal="center"/>
    </xf>
    <xf numFmtId="0" fontId="34" fillId="20" borderId="20" xfId="0" applyFont="1" applyFill="1" applyBorder="1" applyAlignment="1">
      <alignment horizontal="center"/>
    </xf>
    <xf numFmtId="0" fontId="34" fillId="20" borderId="19" xfId="0" applyFont="1" applyFill="1" applyBorder="1" applyAlignment="1">
      <alignment horizontal="center"/>
    </xf>
    <xf numFmtId="0" fontId="34" fillId="20" borderId="13" xfId="0" applyFont="1" applyFill="1" applyBorder="1" applyAlignment="1">
      <alignment horizontal="center"/>
    </xf>
    <xf numFmtId="0" fontId="29" fillId="23" borderId="99" xfId="0" applyFont="1" applyFill="1" applyBorder="1" applyAlignment="1">
      <alignment horizontal="left"/>
    </xf>
    <xf numFmtId="0" fontId="29" fillId="23" borderId="95" xfId="0" applyFont="1" applyFill="1" applyBorder="1" applyAlignment="1">
      <alignment horizontal="left"/>
    </xf>
    <xf numFmtId="0" fontId="29" fillId="23" borderId="100" xfId="0" applyFont="1" applyFill="1" applyBorder="1" applyAlignment="1">
      <alignment horizontal="left"/>
    </xf>
    <xf numFmtId="0" fontId="29" fillId="23" borderId="101" xfId="0" applyFont="1" applyFill="1" applyBorder="1" applyAlignment="1">
      <alignment horizontal="left"/>
    </xf>
    <xf numFmtId="0" fontId="29" fillId="23" borderId="102" xfId="0" applyFont="1" applyFill="1" applyBorder="1" applyAlignment="1">
      <alignment horizontal="left"/>
    </xf>
    <xf numFmtId="0" fontId="29" fillId="23" borderId="103" xfId="0" applyFont="1" applyFill="1" applyBorder="1" applyAlignment="1">
      <alignment horizontal="left"/>
    </xf>
    <xf numFmtId="0" fontId="29" fillId="25" borderId="101" xfId="0" applyFont="1" applyFill="1" applyBorder="1" applyAlignment="1">
      <alignment horizontal="left"/>
    </xf>
    <xf numFmtId="0" fontId="29" fillId="25" borderId="102" xfId="0" applyFont="1" applyFill="1" applyBorder="1" applyAlignment="1">
      <alignment horizontal="left"/>
    </xf>
    <xf numFmtId="0" fontId="29" fillId="25" borderId="103" xfId="0" applyFont="1" applyFill="1" applyBorder="1" applyAlignment="1">
      <alignment horizontal="left"/>
    </xf>
    <xf numFmtId="0" fontId="29" fillId="22" borderId="96" xfId="0" applyFont="1" applyFill="1" applyBorder="1" applyAlignment="1">
      <alignment horizontal="left"/>
    </xf>
    <xf numFmtId="0" fontId="29" fillId="22" borderId="97" xfId="0" applyFont="1" applyFill="1" applyBorder="1" applyAlignment="1">
      <alignment horizontal="left"/>
    </xf>
    <xf numFmtId="0" fontId="29" fillId="22" borderId="98" xfId="0" applyFont="1" applyFill="1" applyBorder="1" applyAlignment="1">
      <alignment horizontal="left"/>
    </xf>
    <xf numFmtId="0" fontId="29" fillId="22" borderId="99" xfId="0" applyFont="1" applyFill="1" applyBorder="1" applyAlignment="1">
      <alignment horizontal="left"/>
    </xf>
    <xf numFmtId="0" fontId="29" fillId="22" borderId="95" xfId="0" applyFont="1" applyFill="1" applyBorder="1" applyAlignment="1">
      <alignment horizontal="left"/>
    </xf>
    <xf numFmtId="0" fontId="29" fillId="22" borderId="100" xfId="0" applyFont="1" applyFill="1" applyBorder="1" applyAlignment="1">
      <alignment horizontal="left"/>
    </xf>
    <xf numFmtId="0" fontId="29" fillId="22" borderId="101" xfId="0" applyFont="1" applyFill="1" applyBorder="1" applyAlignment="1">
      <alignment horizontal="left"/>
    </xf>
    <xf numFmtId="0" fontId="29" fillId="22" borderId="102" xfId="0" applyFont="1" applyFill="1" applyBorder="1" applyAlignment="1">
      <alignment horizontal="left"/>
    </xf>
    <xf numFmtId="0" fontId="29" fillId="22" borderId="103" xfId="0" applyFont="1" applyFill="1" applyBorder="1" applyAlignment="1">
      <alignment horizontal="left"/>
    </xf>
    <xf numFmtId="0" fontId="29" fillId="23" borderId="96" xfId="0" applyFont="1" applyFill="1" applyBorder="1" applyAlignment="1">
      <alignment horizontal="left"/>
    </xf>
    <xf numFmtId="0" fontId="29" fillId="23" borderId="97" xfId="0" applyFont="1" applyFill="1" applyBorder="1" applyAlignment="1">
      <alignment horizontal="left"/>
    </xf>
    <xf numFmtId="0" fontId="29" fillId="23" borderId="98" xfId="0" applyFont="1" applyFill="1" applyBorder="1" applyAlignment="1">
      <alignment horizontal="left"/>
    </xf>
  </cellXfs>
  <cellStyles count="9">
    <cellStyle name="Euro" xfId="6"/>
    <cellStyle name="Hipervínculo" xfId="7" builtinId="8"/>
    <cellStyle name="Millares" xfId="3" builtinId="3"/>
    <cellStyle name="Moneda" xfId="8" builtinId="4"/>
    <cellStyle name="Normal" xfId="0" builtinId="0"/>
    <cellStyle name="Normal 2" xfId="2"/>
    <cellStyle name="Normal_SummaryRiskAssessmentRegister" xfId="5"/>
    <cellStyle name="Porcentaje" xfId="1" builtinId="5"/>
    <cellStyle name="Porcentual 2" xfId="4"/>
  </cellStyles>
  <dxfs count="135">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12"/>
      </font>
    </dxf>
    <dxf>
      <font>
        <condense val="0"/>
        <extend val="0"/>
        <color indexed="8"/>
      </font>
    </dxf>
    <dxf>
      <font>
        <condense val="0"/>
        <extend val="0"/>
        <color indexed="1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9" defaultPivotStyle="PivotStyleLight16"/>
  <colors>
    <mruColors>
      <color rgb="FFFEFCBA"/>
      <color rgb="FFCCFFCC"/>
      <color rgb="FFFCF2D4"/>
      <color rgb="FFD3FDF6"/>
      <color rgb="FF00FF00"/>
      <color rgb="FF66FFFF"/>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Evolución del activo</a:t>
            </a:r>
          </a:p>
        </c:rich>
      </c:tx>
      <c:layout/>
      <c:overlay val="0"/>
    </c:title>
    <c:autoTitleDeleted val="0"/>
    <c:plotArea>
      <c:layout/>
      <c:barChart>
        <c:barDir val="col"/>
        <c:grouping val="percentStacked"/>
        <c:varyColors val="0"/>
        <c:ser>
          <c:idx val="0"/>
          <c:order val="0"/>
          <c:tx>
            <c:strRef>
              <c:f>Indicadores!$C$306</c:f>
              <c:strCache>
                <c:ptCount val="1"/>
                <c:pt idx="0">
                  <c:v>A) ACTIVO NO CORRIENTE</c:v>
                </c:pt>
              </c:strCache>
            </c:strRef>
          </c:tx>
          <c:invertIfNegative val="0"/>
          <c:cat>
            <c:strRef>
              <c:f>Indicadores!$D$305:$I$305</c:f>
              <c:strCache>
                <c:ptCount val="6"/>
                <c:pt idx="0">
                  <c:v>Año X</c:v>
                </c:pt>
                <c:pt idx="1">
                  <c:v>Año X+1</c:v>
                </c:pt>
                <c:pt idx="2">
                  <c:v>Año X+2</c:v>
                </c:pt>
                <c:pt idx="3">
                  <c:v>Año X+3</c:v>
                </c:pt>
                <c:pt idx="4">
                  <c:v>Año X+4</c:v>
                </c:pt>
                <c:pt idx="5">
                  <c:v>Tendencia</c:v>
                </c:pt>
              </c:strCache>
            </c:strRef>
          </c:cat>
          <c:val>
            <c:numRef>
              <c:f>Indicadores!$D$306:$I$306</c:f>
              <c:numCache>
                <c:formatCode>#.##0_ ;[Red]\-#.##0\ </c:formatCode>
                <c:ptCount val="6"/>
                <c:pt idx="0">
                  <c:v>4140</c:v>
                </c:pt>
                <c:pt idx="1">
                  <c:v>3180</c:v>
                </c:pt>
                <c:pt idx="2">
                  <c:v>2220</c:v>
                </c:pt>
                <c:pt idx="3">
                  <c:v>1260</c:v>
                </c:pt>
                <c:pt idx="4">
                  <c:v>450</c:v>
                </c:pt>
                <c:pt idx="5">
                  <c:v>-539.99999999999909</c:v>
                </c:pt>
              </c:numCache>
            </c:numRef>
          </c:val>
        </c:ser>
        <c:ser>
          <c:idx val="1"/>
          <c:order val="1"/>
          <c:tx>
            <c:strRef>
              <c:f>Indicadores!$C$313</c:f>
              <c:strCache>
                <c:ptCount val="1"/>
                <c:pt idx="0">
                  <c:v>B) ACTIVO CORRIENTE</c:v>
                </c:pt>
              </c:strCache>
            </c:strRef>
          </c:tx>
          <c:invertIfNegative val="0"/>
          <c:cat>
            <c:strRef>
              <c:f>Indicadores!$D$305:$I$305</c:f>
              <c:strCache>
                <c:ptCount val="6"/>
                <c:pt idx="0">
                  <c:v>Año X</c:v>
                </c:pt>
                <c:pt idx="1">
                  <c:v>Año X+1</c:v>
                </c:pt>
                <c:pt idx="2">
                  <c:v>Año X+2</c:v>
                </c:pt>
                <c:pt idx="3">
                  <c:v>Año X+3</c:v>
                </c:pt>
                <c:pt idx="4">
                  <c:v>Año X+4</c:v>
                </c:pt>
                <c:pt idx="5">
                  <c:v>Tendencia</c:v>
                </c:pt>
              </c:strCache>
            </c:strRef>
          </c:cat>
          <c:val>
            <c:numRef>
              <c:f>Indicadores!$D$313:$I$313</c:f>
              <c:numCache>
                <c:formatCode>#.##0_ ;[Red]\-#.##0\ </c:formatCode>
                <c:ptCount val="6"/>
                <c:pt idx="0">
                  <c:v>21477.367442256204</c:v>
                </c:pt>
                <c:pt idx="1">
                  <c:v>23586.867205374503</c:v>
                </c:pt>
                <c:pt idx="2">
                  <c:v>25226.393801603976</c:v>
                </c:pt>
                <c:pt idx="3">
                  <c:v>29011.037990170604</c:v>
                </c:pt>
                <c:pt idx="4">
                  <c:v>36538.525001662725</c:v>
                </c:pt>
                <c:pt idx="5">
                  <c:v>37831.984059296345</c:v>
                </c:pt>
              </c:numCache>
            </c:numRef>
          </c:val>
        </c:ser>
        <c:dLbls>
          <c:showLegendKey val="0"/>
          <c:showVal val="0"/>
          <c:showCatName val="0"/>
          <c:showSerName val="0"/>
          <c:showPercent val="0"/>
          <c:showBubbleSize val="0"/>
        </c:dLbls>
        <c:gapWidth val="150"/>
        <c:overlap val="100"/>
        <c:axId val="241989120"/>
        <c:axId val="242025600"/>
      </c:barChart>
      <c:catAx>
        <c:axId val="241989120"/>
        <c:scaling>
          <c:orientation val="minMax"/>
        </c:scaling>
        <c:delete val="0"/>
        <c:axPos val="b"/>
        <c:majorTickMark val="out"/>
        <c:minorTickMark val="none"/>
        <c:tickLblPos val="nextTo"/>
        <c:crossAx val="242025600"/>
        <c:crosses val="autoZero"/>
        <c:auto val="1"/>
        <c:lblAlgn val="ctr"/>
        <c:lblOffset val="100"/>
        <c:noMultiLvlLbl val="0"/>
      </c:catAx>
      <c:valAx>
        <c:axId val="242025600"/>
        <c:scaling>
          <c:orientation val="minMax"/>
        </c:scaling>
        <c:delete val="0"/>
        <c:axPos val="l"/>
        <c:majorGridlines/>
        <c:numFmt formatCode="0%" sourceLinked="1"/>
        <c:majorTickMark val="out"/>
        <c:minorTickMark val="none"/>
        <c:tickLblPos val="nextTo"/>
        <c:crossAx val="241989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Indicadores!$C$313</c:f>
              <c:strCache>
                <c:ptCount val="1"/>
                <c:pt idx="0">
                  <c:v>B) ACTIVO CORRIENTE</c:v>
                </c:pt>
              </c:strCache>
            </c:strRef>
          </c:tx>
          <c:invertIfNegative val="0"/>
          <c:cat>
            <c:multiLvlStrRef>
              <c:f>Indicadores!#REF!</c:f>
            </c:multiLvlStrRef>
          </c:cat>
          <c:val>
            <c:numRef>
              <c:f>Indicadores!$D$313:$I$313</c:f>
              <c:numCache>
                <c:formatCode>#.##0_ ;[Red]\-#.##0\ </c:formatCode>
                <c:ptCount val="6"/>
                <c:pt idx="0">
                  <c:v>21477.367442256204</c:v>
                </c:pt>
                <c:pt idx="1">
                  <c:v>23586.867205374503</c:v>
                </c:pt>
                <c:pt idx="2">
                  <c:v>25226.393801603976</c:v>
                </c:pt>
                <c:pt idx="3">
                  <c:v>29011.037990170604</c:v>
                </c:pt>
                <c:pt idx="4">
                  <c:v>36538.525001662725</c:v>
                </c:pt>
                <c:pt idx="5">
                  <c:v>37831.984059296345</c:v>
                </c:pt>
              </c:numCache>
            </c:numRef>
          </c:val>
        </c:ser>
        <c:ser>
          <c:idx val="1"/>
          <c:order val="1"/>
          <c:tx>
            <c:strRef>
              <c:f>Indicadores!$C$342</c:f>
              <c:strCache>
                <c:ptCount val="1"/>
                <c:pt idx="0">
                  <c:v>C) PASIVO CORRIENTE</c:v>
                </c:pt>
              </c:strCache>
            </c:strRef>
          </c:tx>
          <c:invertIfNegative val="0"/>
          <c:cat>
            <c:multiLvlStrRef>
              <c:f>Indicadores!#REF!</c:f>
            </c:multiLvlStrRef>
          </c:cat>
          <c:val>
            <c:numRef>
              <c:f>Indicadores!$D$342:$I$342</c:f>
              <c:numCache>
                <c:formatCode>#.##0_ ;[Red]\-#.##0\ </c:formatCode>
                <c:ptCount val="6"/>
                <c:pt idx="0">
                  <c:v>995.7909385730436</c:v>
                </c:pt>
                <c:pt idx="1">
                  <c:v>1057.2091447387252</c:v>
                </c:pt>
                <c:pt idx="2">
                  <c:v>1122.4154914693488</c:v>
                </c:pt>
                <c:pt idx="3">
                  <c:v>1191.6436229859951</c:v>
                </c:pt>
                <c:pt idx="4">
                  <c:v>0</c:v>
                </c:pt>
                <c:pt idx="5">
                  <c:v>316.26761988377734</c:v>
                </c:pt>
              </c:numCache>
            </c:numRef>
          </c:val>
        </c:ser>
        <c:dLbls>
          <c:showLegendKey val="0"/>
          <c:showVal val="0"/>
          <c:showCatName val="0"/>
          <c:showSerName val="0"/>
          <c:showPercent val="0"/>
          <c:showBubbleSize val="0"/>
        </c:dLbls>
        <c:gapWidth val="150"/>
        <c:overlap val="100"/>
        <c:axId val="242260480"/>
        <c:axId val="242485504"/>
      </c:barChart>
      <c:catAx>
        <c:axId val="242260480"/>
        <c:scaling>
          <c:orientation val="minMax"/>
        </c:scaling>
        <c:delete val="0"/>
        <c:axPos val="b"/>
        <c:majorTickMark val="out"/>
        <c:minorTickMark val="none"/>
        <c:tickLblPos val="nextTo"/>
        <c:crossAx val="242485504"/>
        <c:crosses val="autoZero"/>
        <c:auto val="1"/>
        <c:lblAlgn val="ctr"/>
        <c:lblOffset val="100"/>
        <c:noMultiLvlLbl val="0"/>
      </c:catAx>
      <c:valAx>
        <c:axId val="242485504"/>
        <c:scaling>
          <c:orientation val="minMax"/>
        </c:scaling>
        <c:delete val="0"/>
        <c:axPos val="l"/>
        <c:majorGridlines/>
        <c:numFmt formatCode="0%" sourceLinked="1"/>
        <c:majorTickMark val="out"/>
        <c:minorTickMark val="none"/>
        <c:tickLblPos val="nextTo"/>
        <c:crossAx val="242260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Rentabilidad Financiera</a:t>
            </a:r>
          </a:p>
        </c:rich>
      </c:tx>
      <c:overlay val="0"/>
    </c:title>
    <c:autoTitleDeleted val="0"/>
    <c:plotArea>
      <c:layout/>
      <c:lineChart>
        <c:grouping val="standard"/>
        <c:varyColors val="0"/>
        <c:ser>
          <c:idx val="0"/>
          <c:order val="0"/>
          <c:tx>
            <c:strRef>
              <c:f>Indicadores!$C$526</c:f>
              <c:strCache>
                <c:ptCount val="1"/>
                <c:pt idx="0">
                  <c:v>Empresa</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Indicadores!$D$526:$I$526</c:f>
              <c:numCache>
                <c:formatCode>0.00%</c:formatCode>
                <c:ptCount val="6"/>
                <c:pt idx="0">
                  <c:v>0.54024679833194311</c:v>
                </c:pt>
                <c:pt idx="1">
                  <c:v>0.61296992771576486</c:v>
                </c:pt>
                <c:pt idx="2">
                  <c:v>0.66274965922878404</c:v>
                </c:pt>
                <c:pt idx="3">
                  <c:v>0.7537705982733518</c:v>
                </c:pt>
                <c:pt idx="4">
                  <c:v>0.87769652887639071</c:v>
                </c:pt>
                <c:pt idx="5">
                  <c:v>0.93419674197919167</c:v>
                </c:pt>
              </c:numCache>
            </c:numRef>
          </c:val>
          <c:smooth val="0"/>
        </c:ser>
        <c:ser>
          <c:idx val="1"/>
          <c:order val="1"/>
          <c:tx>
            <c:strRef>
              <c:f>Indicadores!$C$527</c:f>
              <c:strCache>
                <c:ptCount val="1"/>
                <c:pt idx="0">
                  <c:v>Sector</c:v>
                </c:pt>
              </c:strCache>
            </c:strRef>
          </c:tx>
          <c:marker>
            <c:symbol val="none"/>
          </c:marker>
          <c:val>
            <c:numRef>
              <c:f>Indicadores!$D$527:$I$527</c:f>
              <c:numCache>
                <c:formatCode>0.00%</c:formatCode>
                <c:ptCount val="6"/>
                <c:pt idx="0">
                  <c:v>0.14017007569846482</c:v>
                </c:pt>
                <c:pt idx="1">
                  <c:v>0.13853374750938283</c:v>
                </c:pt>
                <c:pt idx="2">
                  <c:v>0.157739219917439</c:v>
                </c:pt>
                <c:pt idx="3">
                  <c:v>0.11292739945956078</c:v>
                </c:pt>
                <c:pt idx="4">
                  <c:v>9.0852129956304123E-2</c:v>
                </c:pt>
                <c:pt idx="5">
                  <c:v>9.077184264798728E-2</c:v>
                </c:pt>
              </c:numCache>
            </c:numRef>
          </c:val>
          <c:smooth val="0"/>
        </c:ser>
        <c:dLbls>
          <c:showLegendKey val="0"/>
          <c:showVal val="0"/>
          <c:showCatName val="0"/>
          <c:showSerName val="0"/>
          <c:showPercent val="0"/>
          <c:showBubbleSize val="0"/>
        </c:dLbls>
        <c:marker val="1"/>
        <c:smooth val="0"/>
        <c:axId val="242260992"/>
        <c:axId val="242487232"/>
      </c:lineChart>
      <c:catAx>
        <c:axId val="242260992"/>
        <c:scaling>
          <c:orientation val="minMax"/>
        </c:scaling>
        <c:delete val="0"/>
        <c:axPos val="b"/>
        <c:majorTickMark val="none"/>
        <c:minorTickMark val="none"/>
        <c:tickLblPos val="nextTo"/>
        <c:crossAx val="242487232"/>
        <c:crosses val="autoZero"/>
        <c:auto val="1"/>
        <c:lblAlgn val="ctr"/>
        <c:lblOffset val="100"/>
        <c:noMultiLvlLbl val="0"/>
      </c:catAx>
      <c:valAx>
        <c:axId val="242487232"/>
        <c:scaling>
          <c:orientation val="minMax"/>
        </c:scaling>
        <c:delete val="0"/>
        <c:axPos val="l"/>
        <c:majorGridlines/>
        <c:numFmt formatCode="0.00%" sourceLinked="1"/>
        <c:majorTickMark val="none"/>
        <c:minorTickMark val="none"/>
        <c:tickLblPos val="nextTo"/>
        <c:crossAx val="242260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Coste medio por trabajador</a:t>
            </a:r>
          </a:p>
        </c:rich>
      </c:tx>
      <c:overlay val="0"/>
    </c:title>
    <c:autoTitleDeleted val="0"/>
    <c:plotArea>
      <c:layout/>
      <c:lineChart>
        <c:grouping val="standard"/>
        <c:varyColors val="0"/>
        <c:ser>
          <c:idx val="0"/>
          <c:order val="0"/>
          <c:tx>
            <c:strRef>
              <c:f>Indicadores!$C$874</c:f>
              <c:strCache>
                <c:ptCount val="1"/>
                <c:pt idx="0">
                  <c:v>Empresa</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Indicadores!$D$874:$I$874</c:f>
              <c:numCache>
                <c:formatCode>#.##0\ "€"</c:formatCode>
                <c:ptCount val="6"/>
                <c:pt idx="0">
                  <c:v>15840</c:v>
                </c:pt>
                <c:pt idx="1">
                  <c:v>16315.2</c:v>
                </c:pt>
                <c:pt idx="2">
                  <c:v>16804.656000000003</c:v>
                </c:pt>
                <c:pt idx="3">
                  <c:v>17308.795680000003</c:v>
                </c:pt>
                <c:pt idx="4">
                  <c:v>17828.059550400005</c:v>
                </c:pt>
                <c:pt idx="5">
                  <c:v>18310.256680320006</c:v>
                </c:pt>
              </c:numCache>
            </c:numRef>
          </c:val>
          <c:smooth val="0"/>
        </c:ser>
        <c:ser>
          <c:idx val="1"/>
          <c:order val="1"/>
          <c:tx>
            <c:strRef>
              <c:f>Indicadores!$C$875</c:f>
              <c:strCache>
                <c:ptCount val="1"/>
                <c:pt idx="0">
                  <c:v>Sector</c:v>
                </c:pt>
              </c:strCache>
            </c:strRef>
          </c:tx>
          <c:marker>
            <c:symbol val="none"/>
          </c:marker>
          <c:val>
            <c:numRef>
              <c:f>Indicadores!$D$875:$I$875</c:f>
              <c:numCache>
                <c:formatCode>#.##0\ "€"</c:formatCode>
                <c:ptCount val="6"/>
                <c:pt idx="0">
                  <c:v>21785.693041409249</c:v>
                </c:pt>
                <c:pt idx="1">
                  <c:v>22991.897205268229</c:v>
                </c:pt>
                <c:pt idx="2">
                  <c:v>23646.521005845876</c:v>
                </c:pt>
                <c:pt idx="3">
                  <c:v>24177.68913235244</c:v>
                </c:pt>
                <c:pt idx="4">
                  <c:v>25050.672151876606</c:v>
                </c:pt>
                <c:pt idx="5">
                  <c:v>25845.219551756156</c:v>
                </c:pt>
              </c:numCache>
            </c:numRef>
          </c:val>
          <c:smooth val="0"/>
        </c:ser>
        <c:dLbls>
          <c:showLegendKey val="0"/>
          <c:showVal val="0"/>
          <c:showCatName val="0"/>
          <c:showSerName val="0"/>
          <c:showPercent val="0"/>
          <c:showBubbleSize val="0"/>
        </c:dLbls>
        <c:marker val="1"/>
        <c:smooth val="0"/>
        <c:axId val="242261504"/>
        <c:axId val="242489536"/>
      </c:lineChart>
      <c:catAx>
        <c:axId val="242261504"/>
        <c:scaling>
          <c:orientation val="minMax"/>
        </c:scaling>
        <c:delete val="0"/>
        <c:axPos val="b"/>
        <c:majorTickMark val="none"/>
        <c:minorTickMark val="none"/>
        <c:tickLblPos val="nextTo"/>
        <c:crossAx val="242489536"/>
        <c:crosses val="autoZero"/>
        <c:auto val="1"/>
        <c:lblAlgn val="ctr"/>
        <c:lblOffset val="100"/>
        <c:noMultiLvlLbl val="0"/>
      </c:catAx>
      <c:valAx>
        <c:axId val="242489536"/>
        <c:scaling>
          <c:orientation val="minMax"/>
        </c:scaling>
        <c:delete val="0"/>
        <c:axPos val="l"/>
        <c:majorGridlines/>
        <c:numFmt formatCode="#.##0\ &quot;€&quot;" sourceLinked="1"/>
        <c:majorTickMark val="none"/>
        <c:minorTickMark val="none"/>
        <c:tickLblPos val="nextTo"/>
        <c:crossAx val="2422615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Productividad de empleados</a:t>
            </a:r>
          </a:p>
        </c:rich>
      </c:tx>
      <c:overlay val="0"/>
    </c:title>
    <c:autoTitleDeleted val="0"/>
    <c:plotArea>
      <c:layout/>
      <c:lineChart>
        <c:grouping val="standard"/>
        <c:varyColors val="0"/>
        <c:ser>
          <c:idx val="0"/>
          <c:order val="0"/>
          <c:tx>
            <c:strRef>
              <c:f>Indicadores!$C$884</c:f>
              <c:strCache>
                <c:ptCount val="1"/>
                <c:pt idx="0">
                  <c:v>Empresa</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Indicadores!$D$884:$I$884</c:f>
              <c:numCache>
                <c:formatCode>#.##0\ "€"</c:formatCode>
                <c:ptCount val="6"/>
                <c:pt idx="0">
                  <c:v>54000</c:v>
                </c:pt>
                <c:pt idx="1">
                  <c:v>55620</c:v>
                </c:pt>
                <c:pt idx="2">
                  <c:v>58401</c:v>
                </c:pt>
                <c:pt idx="3">
                  <c:v>62489.070000000007</c:v>
                </c:pt>
                <c:pt idx="4">
                  <c:v>68737.977000000014</c:v>
                </c:pt>
                <c:pt idx="5">
                  <c:v>70753.116600000008</c:v>
                </c:pt>
              </c:numCache>
            </c:numRef>
          </c:val>
          <c:smooth val="0"/>
        </c:ser>
        <c:ser>
          <c:idx val="1"/>
          <c:order val="1"/>
          <c:tx>
            <c:strRef>
              <c:f>Indicadores!$C$885</c:f>
              <c:strCache>
                <c:ptCount val="1"/>
                <c:pt idx="0">
                  <c:v>Sector</c:v>
                </c:pt>
              </c:strCache>
            </c:strRef>
          </c:tx>
          <c:marker>
            <c:symbol val="none"/>
          </c:marker>
          <c:val>
            <c:numRef>
              <c:f>Indicadores!$D$885:$I$885</c:f>
              <c:numCache>
                <c:formatCode>#.##0\ "€"</c:formatCode>
                <c:ptCount val="6"/>
                <c:pt idx="0">
                  <c:v>181554.1148355318</c:v>
                </c:pt>
                <c:pt idx="1">
                  <c:v>189600.61676839061</c:v>
                </c:pt>
                <c:pt idx="2">
                  <c:v>195990.17740524226</c:v>
                </c:pt>
                <c:pt idx="3">
                  <c:v>198243.7020863895</c:v>
                </c:pt>
                <c:pt idx="4">
                  <c:v>201312.63948535366</c:v>
                </c:pt>
                <c:pt idx="5">
                  <c:v>207788.29050147434</c:v>
                </c:pt>
              </c:numCache>
            </c:numRef>
          </c:val>
          <c:smooth val="0"/>
        </c:ser>
        <c:dLbls>
          <c:showLegendKey val="0"/>
          <c:showVal val="0"/>
          <c:showCatName val="0"/>
          <c:showSerName val="0"/>
          <c:showPercent val="0"/>
          <c:showBubbleSize val="0"/>
        </c:dLbls>
        <c:marker val="1"/>
        <c:smooth val="0"/>
        <c:axId val="242622976"/>
        <c:axId val="242688576"/>
      </c:lineChart>
      <c:catAx>
        <c:axId val="242622976"/>
        <c:scaling>
          <c:orientation val="minMax"/>
        </c:scaling>
        <c:delete val="0"/>
        <c:axPos val="b"/>
        <c:majorTickMark val="none"/>
        <c:minorTickMark val="none"/>
        <c:tickLblPos val="nextTo"/>
        <c:crossAx val="242688576"/>
        <c:crosses val="autoZero"/>
        <c:auto val="1"/>
        <c:lblAlgn val="ctr"/>
        <c:lblOffset val="100"/>
        <c:noMultiLvlLbl val="0"/>
      </c:catAx>
      <c:valAx>
        <c:axId val="242688576"/>
        <c:scaling>
          <c:orientation val="minMax"/>
        </c:scaling>
        <c:delete val="0"/>
        <c:axPos val="l"/>
        <c:majorGridlines/>
        <c:numFmt formatCode="#.##0\ &quot;€&quot;" sourceLinked="1"/>
        <c:majorTickMark val="none"/>
        <c:minorTickMark val="none"/>
        <c:tickLblPos val="nextTo"/>
        <c:crossAx val="242622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Coste</a:t>
            </a:r>
            <a:r>
              <a:rPr lang="es-ES" baseline="0"/>
              <a:t> y p</a:t>
            </a:r>
            <a:r>
              <a:rPr lang="es-ES"/>
              <a:t>roductividad</a:t>
            </a:r>
          </a:p>
        </c:rich>
      </c:tx>
      <c:overlay val="0"/>
    </c:title>
    <c:autoTitleDeleted val="0"/>
    <c:plotArea>
      <c:layout/>
      <c:lineChart>
        <c:grouping val="standard"/>
        <c:varyColors val="0"/>
        <c:ser>
          <c:idx val="0"/>
          <c:order val="0"/>
          <c:tx>
            <c:strRef>
              <c:f>Indicadores!$C$873</c:f>
              <c:strCache>
                <c:ptCount val="1"/>
                <c:pt idx="0">
                  <c:v>Coste medio por trabajador</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Indicadores!$D$874:$I$874</c:f>
              <c:numCache>
                <c:formatCode>#.##0\ "€"</c:formatCode>
                <c:ptCount val="6"/>
                <c:pt idx="0">
                  <c:v>15840</c:v>
                </c:pt>
                <c:pt idx="1">
                  <c:v>16315.2</c:v>
                </c:pt>
                <c:pt idx="2">
                  <c:v>16804.656000000003</c:v>
                </c:pt>
                <c:pt idx="3">
                  <c:v>17308.795680000003</c:v>
                </c:pt>
                <c:pt idx="4">
                  <c:v>17828.059550400005</c:v>
                </c:pt>
                <c:pt idx="5">
                  <c:v>18310.256680320006</c:v>
                </c:pt>
              </c:numCache>
            </c:numRef>
          </c:val>
          <c:smooth val="0"/>
        </c:ser>
        <c:ser>
          <c:idx val="1"/>
          <c:order val="1"/>
          <c:tx>
            <c:strRef>
              <c:f>Indicadores!$C$883</c:f>
              <c:strCache>
                <c:ptCount val="1"/>
                <c:pt idx="0">
                  <c:v>Productividad del factor trabajo</c:v>
                </c:pt>
              </c:strCache>
            </c:strRef>
          </c:tx>
          <c:marker>
            <c:symbol val="none"/>
          </c:marker>
          <c:val>
            <c:numRef>
              <c:f>Indicadores!$D$884:$I$884</c:f>
              <c:numCache>
                <c:formatCode>#.##0\ "€"</c:formatCode>
                <c:ptCount val="6"/>
                <c:pt idx="0">
                  <c:v>54000</c:v>
                </c:pt>
                <c:pt idx="1">
                  <c:v>55620</c:v>
                </c:pt>
                <c:pt idx="2">
                  <c:v>58401</c:v>
                </c:pt>
                <c:pt idx="3">
                  <c:v>62489.070000000007</c:v>
                </c:pt>
                <c:pt idx="4">
                  <c:v>68737.977000000014</c:v>
                </c:pt>
                <c:pt idx="5">
                  <c:v>70753.116600000008</c:v>
                </c:pt>
              </c:numCache>
            </c:numRef>
          </c:val>
          <c:smooth val="0"/>
        </c:ser>
        <c:dLbls>
          <c:showLegendKey val="0"/>
          <c:showVal val="0"/>
          <c:showCatName val="0"/>
          <c:showSerName val="0"/>
          <c:showPercent val="0"/>
          <c:showBubbleSize val="0"/>
        </c:dLbls>
        <c:marker val="1"/>
        <c:smooth val="0"/>
        <c:axId val="242622464"/>
        <c:axId val="242690880"/>
      </c:lineChart>
      <c:catAx>
        <c:axId val="242622464"/>
        <c:scaling>
          <c:orientation val="minMax"/>
        </c:scaling>
        <c:delete val="0"/>
        <c:axPos val="b"/>
        <c:majorTickMark val="none"/>
        <c:minorTickMark val="none"/>
        <c:tickLblPos val="nextTo"/>
        <c:crossAx val="242690880"/>
        <c:crosses val="autoZero"/>
        <c:auto val="1"/>
        <c:lblAlgn val="ctr"/>
        <c:lblOffset val="100"/>
        <c:noMultiLvlLbl val="0"/>
      </c:catAx>
      <c:valAx>
        <c:axId val="242690880"/>
        <c:scaling>
          <c:orientation val="minMax"/>
        </c:scaling>
        <c:delete val="0"/>
        <c:axPos val="l"/>
        <c:majorGridlines/>
        <c:numFmt formatCode="#.##0\ &quot;€&quot;" sourceLinked="1"/>
        <c:majorTickMark val="none"/>
        <c:minorTickMark val="none"/>
        <c:tickLblPos val="nextTo"/>
        <c:crossAx val="242622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Solvencia</a:t>
            </a:r>
            <a:r>
              <a:rPr lang="es-ES" baseline="0"/>
              <a:t> estricta</a:t>
            </a:r>
            <a:endParaRPr lang="es-ES"/>
          </a:p>
        </c:rich>
      </c:tx>
      <c:overlay val="0"/>
    </c:title>
    <c:autoTitleDeleted val="0"/>
    <c:plotArea>
      <c:layout/>
      <c:lineChart>
        <c:grouping val="standard"/>
        <c:varyColors val="0"/>
        <c:ser>
          <c:idx val="0"/>
          <c:order val="0"/>
          <c:tx>
            <c:strRef>
              <c:f>Indicadores!$C$587</c:f>
              <c:strCache>
                <c:ptCount val="1"/>
                <c:pt idx="0">
                  <c:v>Empresa</c:v>
                </c:pt>
              </c:strCache>
            </c:strRef>
          </c:tx>
          <c:marker>
            <c:symbol val="none"/>
          </c:marker>
          <c:cat>
            <c:strRef>
              <c:f>Indicadores!$D$586:$I$586</c:f>
              <c:strCache>
                <c:ptCount val="6"/>
                <c:pt idx="0">
                  <c:v>Año X</c:v>
                </c:pt>
                <c:pt idx="1">
                  <c:v>Año X+1</c:v>
                </c:pt>
                <c:pt idx="2">
                  <c:v>Año X+2</c:v>
                </c:pt>
                <c:pt idx="3">
                  <c:v>Año X+3</c:v>
                </c:pt>
                <c:pt idx="4">
                  <c:v>Año X+4</c:v>
                </c:pt>
                <c:pt idx="5">
                  <c:v>Tendencia</c:v>
                </c:pt>
              </c:strCache>
            </c:strRef>
          </c:cat>
          <c:val>
            <c:numRef>
              <c:f>Indicadores!$D$587:$I$587</c:f>
              <c:numCache>
                <c:formatCode>0.00</c:formatCode>
                <c:ptCount val="6"/>
                <c:pt idx="0">
                  <c:v>21.568149106712109</c:v>
                </c:pt>
                <c:pt idx="1">
                  <c:v>22.310502441977718</c:v>
                </c:pt>
                <c:pt idx="2">
                  <c:v>22.475094110274817</c:v>
                </c:pt>
                <c:pt idx="3">
                  <c:v>24.345397760343285</c:v>
                </c:pt>
                <c:pt idx="4">
                  <c:v>0</c:v>
                </c:pt>
                <c:pt idx="5" formatCode="#.##000_ ;[Red]\-#.##000\ ">
                  <c:v>0</c:v>
                </c:pt>
              </c:numCache>
            </c:numRef>
          </c:val>
          <c:smooth val="0"/>
        </c:ser>
        <c:ser>
          <c:idx val="1"/>
          <c:order val="1"/>
          <c:tx>
            <c:strRef>
              <c:f>Indicadores!$C$588</c:f>
              <c:strCache>
                <c:ptCount val="1"/>
                <c:pt idx="0">
                  <c:v>Sector</c:v>
                </c:pt>
              </c:strCache>
            </c:strRef>
          </c:tx>
          <c:marker>
            <c:symbol val="none"/>
          </c:marker>
          <c:cat>
            <c:strRef>
              <c:f>Indicadores!$D$586:$I$586</c:f>
              <c:strCache>
                <c:ptCount val="6"/>
                <c:pt idx="0">
                  <c:v>Año X</c:v>
                </c:pt>
                <c:pt idx="1">
                  <c:v>Año X+1</c:v>
                </c:pt>
                <c:pt idx="2">
                  <c:v>Año X+2</c:v>
                </c:pt>
                <c:pt idx="3">
                  <c:v>Año X+3</c:v>
                </c:pt>
                <c:pt idx="4">
                  <c:v>Año X+4</c:v>
                </c:pt>
                <c:pt idx="5">
                  <c:v>Tendencia</c:v>
                </c:pt>
              </c:strCache>
            </c:strRef>
          </c:cat>
          <c:val>
            <c:numRef>
              <c:f>Indicadores!$D$588:$I$588</c:f>
              <c:numCache>
                <c:formatCode>0.00</c:formatCode>
                <c:ptCount val="6"/>
                <c:pt idx="0">
                  <c:v>0.7560244715886586</c:v>
                </c:pt>
                <c:pt idx="1">
                  <c:v>0.77318436183565509</c:v>
                </c:pt>
                <c:pt idx="2">
                  <c:v>0.75373560630021741</c:v>
                </c:pt>
                <c:pt idx="3">
                  <c:v>0.76035055614247982</c:v>
                </c:pt>
                <c:pt idx="4">
                  <c:v>0.85302890134064346</c:v>
                </c:pt>
                <c:pt idx="5" formatCode="#.##000_ ;[Red]\-#.##000\ ">
                  <c:v>0.83361729558476927</c:v>
                </c:pt>
              </c:numCache>
            </c:numRef>
          </c:val>
          <c:smooth val="0"/>
        </c:ser>
        <c:dLbls>
          <c:showLegendKey val="0"/>
          <c:showVal val="0"/>
          <c:showCatName val="0"/>
          <c:showSerName val="0"/>
          <c:showPercent val="0"/>
          <c:showBubbleSize val="0"/>
        </c:dLbls>
        <c:marker val="1"/>
        <c:smooth val="0"/>
        <c:axId val="242623488"/>
        <c:axId val="242693760"/>
      </c:lineChart>
      <c:catAx>
        <c:axId val="242623488"/>
        <c:scaling>
          <c:orientation val="minMax"/>
        </c:scaling>
        <c:delete val="0"/>
        <c:axPos val="b"/>
        <c:majorTickMark val="none"/>
        <c:minorTickMark val="none"/>
        <c:tickLblPos val="nextTo"/>
        <c:crossAx val="242693760"/>
        <c:crosses val="autoZero"/>
        <c:auto val="1"/>
        <c:lblAlgn val="ctr"/>
        <c:lblOffset val="100"/>
        <c:noMultiLvlLbl val="0"/>
      </c:catAx>
      <c:valAx>
        <c:axId val="242693760"/>
        <c:scaling>
          <c:orientation val="minMax"/>
        </c:scaling>
        <c:delete val="0"/>
        <c:axPos val="l"/>
        <c:majorGridlines/>
        <c:numFmt formatCode="0.00" sourceLinked="1"/>
        <c:majorTickMark val="none"/>
        <c:minorTickMark val="none"/>
        <c:tickLblPos val="nextTo"/>
        <c:crossAx val="242623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Ratio de endeudamiento</a:t>
            </a:r>
          </a:p>
        </c:rich>
      </c:tx>
      <c:overlay val="0"/>
    </c:title>
    <c:autoTitleDeleted val="0"/>
    <c:plotArea>
      <c:layout/>
      <c:lineChart>
        <c:grouping val="standard"/>
        <c:varyColors val="0"/>
        <c:ser>
          <c:idx val="0"/>
          <c:order val="0"/>
          <c:tx>
            <c:strRef>
              <c:f>Indicadores!$C$616</c:f>
              <c:strCache>
                <c:ptCount val="1"/>
                <c:pt idx="0">
                  <c:v>Empresa</c:v>
                </c:pt>
              </c:strCache>
            </c:strRef>
          </c:tx>
          <c:marker>
            <c:symbol val="none"/>
          </c:marker>
          <c:cat>
            <c:strRef>
              <c:f>Indicadores!$D$615:$I$615</c:f>
              <c:strCache>
                <c:ptCount val="6"/>
                <c:pt idx="0">
                  <c:v>Año X</c:v>
                </c:pt>
                <c:pt idx="1">
                  <c:v>Año X+1</c:v>
                </c:pt>
                <c:pt idx="2">
                  <c:v>Año X+2</c:v>
                </c:pt>
                <c:pt idx="3">
                  <c:v>Año X+3</c:v>
                </c:pt>
                <c:pt idx="4">
                  <c:v>Año X+4</c:v>
                </c:pt>
                <c:pt idx="5">
                  <c:v>Tendencia</c:v>
                </c:pt>
              </c:strCache>
            </c:strRef>
          </c:cat>
          <c:val>
            <c:numRef>
              <c:f>Indicadores!$D$616:$I$616</c:f>
              <c:numCache>
                <c:formatCode>0.00</c:formatCode>
                <c:ptCount val="6"/>
                <c:pt idx="0">
                  <c:v>0.20550568714219172</c:v>
                </c:pt>
                <c:pt idx="1">
                  <c:v>0.1440983950421352</c:v>
                </c:pt>
                <c:pt idx="2">
                  <c:v>9.2074976052210336E-2</c:v>
                </c:pt>
                <c:pt idx="3">
                  <c:v>4.0978969779739839E-2</c:v>
                </c:pt>
                <c:pt idx="4">
                  <c:v>0</c:v>
                </c:pt>
                <c:pt idx="5" formatCode="#.##000_ ;[Red]\-#.##000\ ">
                  <c:v>-5.7707634260778184E-2</c:v>
                </c:pt>
              </c:numCache>
            </c:numRef>
          </c:val>
          <c:smooth val="0"/>
        </c:ser>
        <c:ser>
          <c:idx val="1"/>
          <c:order val="1"/>
          <c:tx>
            <c:strRef>
              <c:f>Indicadores!$C$617</c:f>
              <c:strCache>
                <c:ptCount val="1"/>
                <c:pt idx="0">
                  <c:v>Sector</c:v>
                </c:pt>
              </c:strCache>
            </c:strRef>
          </c:tx>
          <c:marker>
            <c:symbol val="none"/>
          </c:marker>
          <c:cat>
            <c:strRef>
              <c:f>Indicadores!$D$615:$I$615</c:f>
              <c:strCache>
                <c:ptCount val="6"/>
                <c:pt idx="0">
                  <c:v>Año X</c:v>
                </c:pt>
                <c:pt idx="1">
                  <c:v>Año X+1</c:v>
                </c:pt>
                <c:pt idx="2">
                  <c:v>Año X+2</c:v>
                </c:pt>
                <c:pt idx="3">
                  <c:v>Año X+3</c:v>
                </c:pt>
                <c:pt idx="4">
                  <c:v>Año X+4</c:v>
                </c:pt>
                <c:pt idx="5">
                  <c:v>Tendencia</c:v>
                </c:pt>
              </c:strCache>
            </c:strRef>
          </c:cat>
          <c:val>
            <c:numRef>
              <c:f>Indicadores!$D$617:$I$617</c:f>
              <c:numCache>
                <c:formatCode>0.00</c:formatCode>
                <c:ptCount val="6"/>
                <c:pt idx="0">
                  <c:v>1.545536603657746</c:v>
                </c:pt>
                <c:pt idx="1">
                  <c:v>1.6512702383263806</c:v>
                </c:pt>
                <c:pt idx="2">
                  <c:v>1.8234128510364747</c:v>
                </c:pt>
                <c:pt idx="3">
                  <c:v>1.8617744707786765</c:v>
                </c:pt>
                <c:pt idx="4">
                  <c:v>1.5748261705199205</c:v>
                </c:pt>
                <c:pt idx="5" formatCode="#.##000_ ;[Red]\-#.##000\ ">
                  <c:v>1.7720890767168327</c:v>
                </c:pt>
              </c:numCache>
            </c:numRef>
          </c:val>
          <c:smooth val="0"/>
        </c:ser>
        <c:dLbls>
          <c:showLegendKey val="0"/>
          <c:showVal val="0"/>
          <c:showCatName val="0"/>
          <c:showSerName val="0"/>
          <c:showPercent val="0"/>
          <c:showBubbleSize val="0"/>
        </c:dLbls>
        <c:marker val="1"/>
        <c:smooth val="0"/>
        <c:axId val="242624000"/>
        <c:axId val="244015104"/>
      </c:lineChart>
      <c:catAx>
        <c:axId val="242624000"/>
        <c:scaling>
          <c:orientation val="minMax"/>
        </c:scaling>
        <c:delete val="0"/>
        <c:axPos val="b"/>
        <c:majorTickMark val="none"/>
        <c:minorTickMark val="none"/>
        <c:tickLblPos val="nextTo"/>
        <c:crossAx val="244015104"/>
        <c:crosses val="autoZero"/>
        <c:auto val="1"/>
        <c:lblAlgn val="ctr"/>
        <c:lblOffset val="100"/>
        <c:noMultiLvlLbl val="0"/>
      </c:catAx>
      <c:valAx>
        <c:axId val="244015104"/>
        <c:scaling>
          <c:orientation val="minMax"/>
        </c:scaling>
        <c:delete val="0"/>
        <c:axPos val="l"/>
        <c:majorGridlines/>
        <c:numFmt formatCode="0.00" sourceLinked="1"/>
        <c:majorTickMark val="none"/>
        <c:minorTickMark val="none"/>
        <c:tickLblPos val="nextTo"/>
        <c:crossAx val="2426240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Cobertura gastos financieros</a:t>
            </a:r>
          </a:p>
        </c:rich>
      </c:tx>
      <c:overlay val="0"/>
    </c:title>
    <c:autoTitleDeleted val="0"/>
    <c:plotArea>
      <c:layout/>
      <c:lineChart>
        <c:grouping val="standard"/>
        <c:varyColors val="0"/>
        <c:ser>
          <c:idx val="0"/>
          <c:order val="0"/>
          <c:tx>
            <c:strRef>
              <c:f>Indicadores!$C$639</c:f>
              <c:strCache>
                <c:ptCount val="1"/>
                <c:pt idx="0">
                  <c:v>Empresa</c:v>
                </c:pt>
              </c:strCache>
            </c:strRef>
          </c:tx>
          <c:marker>
            <c:symbol val="none"/>
          </c:marker>
          <c:cat>
            <c:strRef>
              <c:f>Indicadores!$D$638:$I$638</c:f>
              <c:strCache>
                <c:ptCount val="6"/>
                <c:pt idx="0">
                  <c:v>Año X</c:v>
                </c:pt>
                <c:pt idx="1">
                  <c:v>Año X+1</c:v>
                </c:pt>
                <c:pt idx="2">
                  <c:v>Año X+2</c:v>
                </c:pt>
                <c:pt idx="3">
                  <c:v>Año X+3</c:v>
                </c:pt>
                <c:pt idx="4">
                  <c:v>Año X+4</c:v>
                </c:pt>
                <c:pt idx="5">
                  <c:v>Tendencia</c:v>
                </c:pt>
              </c:strCache>
            </c:strRef>
          </c:cat>
          <c:val>
            <c:numRef>
              <c:f>Indicadores!$D$639:$I$639</c:f>
              <c:numCache>
                <c:formatCode>0.00</c:formatCode>
                <c:ptCount val="6"/>
                <c:pt idx="0">
                  <c:v>2.550303672210761E-2</c:v>
                </c:pt>
                <c:pt idx="1">
                  <c:v>1.6382295953432359E-2</c:v>
                </c:pt>
                <c:pt idx="2">
                  <c:v>1.0417408252948094E-2</c:v>
                </c:pt>
                <c:pt idx="3">
                  <c:v>4.9413615006813653E-3</c:v>
                </c:pt>
                <c:pt idx="4">
                  <c:v>1.2038467127285005E-3</c:v>
                </c:pt>
                <c:pt idx="5" formatCode="#.##000_ ;[Red]\-#.##000\ ">
                  <c:v>-6.3222045130731722E-3</c:v>
                </c:pt>
              </c:numCache>
            </c:numRef>
          </c:val>
          <c:smooth val="0"/>
        </c:ser>
        <c:ser>
          <c:idx val="1"/>
          <c:order val="1"/>
          <c:tx>
            <c:strRef>
              <c:f>Indicadores!$C$640</c:f>
              <c:strCache>
                <c:ptCount val="1"/>
                <c:pt idx="0">
                  <c:v>Sector</c:v>
                </c:pt>
              </c:strCache>
            </c:strRef>
          </c:tx>
          <c:marker>
            <c:symbol val="none"/>
          </c:marker>
          <c:cat>
            <c:strRef>
              <c:f>Indicadores!$D$638:$I$638</c:f>
              <c:strCache>
                <c:ptCount val="6"/>
                <c:pt idx="0">
                  <c:v>Año X</c:v>
                </c:pt>
                <c:pt idx="1">
                  <c:v>Año X+1</c:v>
                </c:pt>
                <c:pt idx="2">
                  <c:v>Año X+2</c:v>
                </c:pt>
                <c:pt idx="3">
                  <c:v>Año X+3</c:v>
                </c:pt>
                <c:pt idx="4">
                  <c:v>Año X+4</c:v>
                </c:pt>
                <c:pt idx="5">
                  <c:v>Tendencia</c:v>
                </c:pt>
              </c:strCache>
            </c:strRef>
          </c:cat>
          <c:val>
            <c:numRef>
              <c:f>Indicadores!$D$640:$I$640</c:f>
              <c:numCache>
                <c:formatCode>0.00</c:formatCode>
                <c:ptCount val="6"/>
                <c:pt idx="0">
                  <c:v>0.15946110937195074</c:v>
                </c:pt>
                <c:pt idx="1">
                  <c:v>0.21390571707638997</c:v>
                </c:pt>
                <c:pt idx="2">
                  <c:v>0.25022925409275543</c:v>
                </c:pt>
                <c:pt idx="3">
                  <c:v>0.49069600661574497</c:v>
                </c:pt>
                <c:pt idx="4">
                  <c:v>0.40134568312124841</c:v>
                </c:pt>
                <c:pt idx="5" formatCode="#.##000_ ;[Red]\-#.##000\ ">
                  <c:v>0.53129538516700303</c:v>
                </c:pt>
              </c:numCache>
            </c:numRef>
          </c:val>
          <c:smooth val="0"/>
        </c:ser>
        <c:dLbls>
          <c:showLegendKey val="0"/>
          <c:showVal val="0"/>
          <c:showCatName val="0"/>
          <c:showSerName val="0"/>
          <c:showPercent val="0"/>
          <c:showBubbleSize val="0"/>
        </c:dLbls>
        <c:marker val="1"/>
        <c:smooth val="0"/>
        <c:axId val="242624512"/>
        <c:axId val="244016832"/>
      </c:lineChart>
      <c:catAx>
        <c:axId val="242624512"/>
        <c:scaling>
          <c:orientation val="minMax"/>
        </c:scaling>
        <c:delete val="0"/>
        <c:axPos val="b"/>
        <c:majorTickMark val="none"/>
        <c:minorTickMark val="none"/>
        <c:tickLblPos val="nextTo"/>
        <c:crossAx val="244016832"/>
        <c:crosses val="autoZero"/>
        <c:auto val="1"/>
        <c:lblAlgn val="ctr"/>
        <c:lblOffset val="100"/>
        <c:noMultiLvlLbl val="0"/>
      </c:catAx>
      <c:valAx>
        <c:axId val="244016832"/>
        <c:scaling>
          <c:orientation val="minMax"/>
        </c:scaling>
        <c:delete val="0"/>
        <c:axPos val="l"/>
        <c:majorGridlines/>
        <c:numFmt formatCode="0.00" sourceLinked="1"/>
        <c:majorTickMark val="none"/>
        <c:minorTickMark val="none"/>
        <c:tickLblPos val="nextTo"/>
        <c:crossAx val="242624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Ratio</a:t>
            </a:r>
            <a:r>
              <a:rPr lang="es-ES" baseline="0"/>
              <a:t> de garantía</a:t>
            </a:r>
            <a:endParaRPr lang="es-ES"/>
          </a:p>
        </c:rich>
      </c:tx>
      <c:overlay val="0"/>
    </c:title>
    <c:autoTitleDeleted val="0"/>
    <c:plotArea>
      <c:layout/>
      <c:lineChart>
        <c:grouping val="standard"/>
        <c:varyColors val="0"/>
        <c:ser>
          <c:idx val="0"/>
          <c:order val="0"/>
          <c:tx>
            <c:strRef>
              <c:f>Indicadores!$C$664</c:f>
              <c:strCache>
                <c:ptCount val="1"/>
                <c:pt idx="0">
                  <c:v>Empresa</c:v>
                </c:pt>
              </c:strCache>
            </c:strRef>
          </c:tx>
          <c:marker>
            <c:symbol val="none"/>
          </c:marker>
          <c:cat>
            <c:strRef>
              <c:f>Indicadores!$D$663:$I$663</c:f>
              <c:strCache>
                <c:ptCount val="6"/>
                <c:pt idx="0">
                  <c:v>Año X</c:v>
                </c:pt>
                <c:pt idx="1">
                  <c:v>Año X+1</c:v>
                </c:pt>
                <c:pt idx="2">
                  <c:v>Año X+2</c:v>
                </c:pt>
                <c:pt idx="3">
                  <c:v>Año X+3</c:v>
                </c:pt>
                <c:pt idx="4">
                  <c:v>Año X+4</c:v>
                </c:pt>
                <c:pt idx="5">
                  <c:v>Tendencia</c:v>
                </c:pt>
              </c:strCache>
            </c:strRef>
          </c:cat>
          <c:val>
            <c:numRef>
              <c:f>Indicadores!$D$664:$I$664</c:f>
              <c:numCache>
                <c:formatCode>0.00</c:formatCode>
                <c:ptCount val="6"/>
                <c:pt idx="0">
                  <c:v>5.8660453825206726</c:v>
                </c:pt>
                <c:pt idx="1">
                  <c:v>7.9397025532976562</c:v>
                </c:pt>
                <c:pt idx="2">
                  <c:v>11.860714201358668</c:v>
                </c:pt>
                <c:pt idx="3">
                  <c:v>25.402760864291025</c:v>
                </c:pt>
                <c:pt idx="4">
                  <c:v>0</c:v>
                </c:pt>
                <c:pt idx="5" formatCode="#.##000_ ;[Red]\-#.##000\ ">
                  <c:v>0</c:v>
                </c:pt>
              </c:numCache>
            </c:numRef>
          </c:val>
          <c:smooth val="0"/>
        </c:ser>
        <c:ser>
          <c:idx val="1"/>
          <c:order val="1"/>
          <c:tx>
            <c:strRef>
              <c:f>Indicadores!$C$665</c:f>
              <c:strCache>
                <c:ptCount val="1"/>
                <c:pt idx="0">
                  <c:v>Sector</c:v>
                </c:pt>
              </c:strCache>
            </c:strRef>
          </c:tx>
          <c:marker>
            <c:symbol val="none"/>
          </c:marker>
          <c:cat>
            <c:strRef>
              <c:f>Indicadores!$D$663:$I$663</c:f>
              <c:strCache>
                <c:ptCount val="6"/>
                <c:pt idx="0">
                  <c:v>Año X</c:v>
                </c:pt>
                <c:pt idx="1">
                  <c:v>Año X+1</c:v>
                </c:pt>
                <c:pt idx="2">
                  <c:v>Año X+2</c:v>
                </c:pt>
                <c:pt idx="3">
                  <c:v>Año X+3</c:v>
                </c:pt>
                <c:pt idx="4">
                  <c:v>Año X+4</c:v>
                </c:pt>
                <c:pt idx="5">
                  <c:v>Tendencia</c:v>
                </c:pt>
              </c:strCache>
            </c:strRef>
          </c:cat>
          <c:val>
            <c:numRef>
              <c:f>Indicadores!$D$665:$I$665</c:f>
              <c:numCache>
                <c:formatCode>0.00</c:formatCode>
                <c:ptCount val="6"/>
                <c:pt idx="0">
                  <c:v>1.6643702907746012</c:v>
                </c:pt>
                <c:pt idx="1">
                  <c:v>1.6206191052005516</c:v>
                </c:pt>
                <c:pt idx="2">
                  <c:v>1.56311446406175</c:v>
                </c:pt>
                <c:pt idx="3">
                  <c:v>1.5502189923765242</c:v>
                </c:pt>
                <c:pt idx="4">
                  <c:v>1.6477576445625937</c:v>
                </c:pt>
                <c:pt idx="5" formatCode="#.##000_ ;[Red]\-#.##000\ ">
                  <c:v>1.5781284778207911</c:v>
                </c:pt>
              </c:numCache>
            </c:numRef>
          </c:val>
          <c:smooth val="0"/>
        </c:ser>
        <c:dLbls>
          <c:showLegendKey val="0"/>
          <c:showVal val="0"/>
          <c:showCatName val="0"/>
          <c:showSerName val="0"/>
          <c:showPercent val="0"/>
          <c:showBubbleSize val="0"/>
        </c:dLbls>
        <c:marker val="1"/>
        <c:smooth val="0"/>
        <c:axId val="242625024"/>
        <c:axId val="244019136"/>
      </c:lineChart>
      <c:catAx>
        <c:axId val="242625024"/>
        <c:scaling>
          <c:orientation val="minMax"/>
        </c:scaling>
        <c:delete val="0"/>
        <c:axPos val="b"/>
        <c:majorTickMark val="none"/>
        <c:minorTickMark val="none"/>
        <c:tickLblPos val="nextTo"/>
        <c:crossAx val="244019136"/>
        <c:crosses val="autoZero"/>
        <c:auto val="1"/>
        <c:lblAlgn val="ctr"/>
        <c:lblOffset val="100"/>
        <c:noMultiLvlLbl val="0"/>
      </c:catAx>
      <c:valAx>
        <c:axId val="244019136"/>
        <c:scaling>
          <c:orientation val="minMax"/>
        </c:scaling>
        <c:delete val="0"/>
        <c:axPos val="l"/>
        <c:majorGridlines/>
        <c:numFmt formatCode="0.00" sourceLinked="1"/>
        <c:majorTickMark val="none"/>
        <c:minorTickMark val="none"/>
        <c:tickLblPos val="nextTo"/>
        <c:crossAx val="242625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Gastos financieros sobre ventas</a:t>
            </a:r>
          </a:p>
        </c:rich>
      </c:tx>
      <c:overlay val="0"/>
    </c:title>
    <c:autoTitleDeleted val="0"/>
    <c:plotArea>
      <c:layout/>
      <c:lineChart>
        <c:grouping val="standard"/>
        <c:varyColors val="0"/>
        <c:ser>
          <c:idx val="0"/>
          <c:order val="0"/>
          <c:tx>
            <c:strRef>
              <c:f>Indicadores!$C$688</c:f>
              <c:strCache>
                <c:ptCount val="1"/>
                <c:pt idx="0">
                  <c:v>Empresa</c:v>
                </c:pt>
              </c:strCache>
            </c:strRef>
          </c:tx>
          <c:marker>
            <c:symbol val="none"/>
          </c:marker>
          <c:cat>
            <c:strRef>
              <c:f>Indicadores!$D$687:$I$687</c:f>
              <c:strCache>
                <c:ptCount val="6"/>
                <c:pt idx="0">
                  <c:v>Año X</c:v>
                </c:pt>
                <c:pt idx="1">
                  <c:v>Año X+1</c:v>
                </c:pt>
                <c:pt idx="2">
                  <c:v>Año X+2</c:v>
                </c:pt>
                <c:pt idx="3">
                  <c:v>Año X+3</c:v>
                </c:pt>
                <c:pt idx="4">
                  <c:v>Año X+4</c:v>
                </c:pt>
                <c:pt idx="5">
                  <c:v>Tendencia</c:v>
                </c:pt>
              </c:strCache>
            </c:strRef>
          </c:cat>
          <c:val>
            <c:numRef>
              <c:f>Indicadores!$D$688:$I$688</c:f>
              <c:numCache>
                <c:formatCode>0,000</c:formatCode>
                <c:ptCount val="6"/>
                <c:pt idx="0">
                  <c:v>1.3554876996782182E-3</c:v>
                </c:pt>
                <c:pt idx="1">
                  <c:v>1.0559834897084567E-3</c:v>
                </c:pt>
                <c:pt idx="2">
                  <c:v>7.4278266050519599E-4</c:v>
                </c:pt>
                <c:pt idx="3">
                  <c:v>4.3331839429692326E-4</c:v>
                </c:pt>
                <c:pt idx="4">
                  <c:v>1.4214312117952582E-4</c:v>
                </c:pt>
                <c:pt idx="5">
                  <c:v>-1.6886320264901172E-4</c:v>
                </c:pt>
              </c:numCache>
            </c:numRef>
          </c:val>
          <c:smooth val="0"/>
        </c:ser>
        <c:ser>
          <c:idx val="1"/>
          <c:order val="1"/>
          <c:tx>
            <c:strRef>
              <c:f>Indicadores!$C$689</c:f>
              <c:strCache>
                <c:ptCount val="1"/>
                <c:pt idx="0">
                  <c:v>Sector</c:v>
                </c:pt>
              </c:strCache>
            </c:strRef>
          </c:tx>
          <c:marker>
            <c:symbol val="none"/>
          </c:marker>
          <c:cat>
            <c:strRef>
              <c:f>Indicadores!$D$687:$I$687</c:f>
              <c:strCache>
                <c:ptCount val="6"/>
                <c:pt idx="0">
                  <c:v>Año X</c:v>
                </c:pt>
                <c:pt idx="1">
                  <c:v>Año X+1</c:v>
                </c:pt>
                <c:pt idx="2">
                  <c:v>Año X+2</c:v>
                </c:pt>
                <c:pt idx="3">
                  <c:v>Año X+3</c:v>
                </c:pt>
                <c:pt idx="4">
                  <c:v>Año X+4</c:v>
                </c:pt>
                <c:pt idx="5">
                  <c:v>Tendencia</c:v>
                </c:pt>
              </c:strCache>
            </c:strRef>
          </c:cat>
          <c:val>
            <c:numRef>
              <c:f>Indicadores!$D$689:$I$689</c:f>
              <c:numCache>
                <c:formatCode>0,000</c:formatCode>
                <c:ptCount val="6"/>
                <c:pt idx="0">
                  <c:v>5.1312157734891475E-3</c:v>
                </c:pt>
                <c:pt idx="1">
                  <c:v>6.8183155110293891E-3</c:v>
                </c:pt>
                <c:pt idx="2">
                  <c:v>8.6652276101485976E-3</c:v>
                </c:pt>
                <c:pt idx="3">
                  <c:v>1.2523185535876322E-2</c:v>
                </c:pt>
                <c:pt idx="4">
                  <c:v>9.8431839465858758E-3</c:v>
                </c:pt>
                <c:pt idx="5">
                  <c:v>1.3134867586737983E-2</c:v>
                </c:pt>
              </c:numCache>
            </c:numRef>
          </c:val>
          <c:smooth val="0"/>
        </c:ser>
        <c:dLbls>
          <c:showLegendKey val="0"/>
          <c:showVal val="0"/>
          <c:showCatName val="0"/>
          <c:showSerName val="0"/>
          <c:showPercent val="0"/>
          <c:showBubbleSize val="0"/>
        </c:dLbls>
        <c:marker val="1"/>
        <c:smooth val="0"/>
        <c:axId val="242625536"/>
        <c:axId val="244021440"/>
      </c:lineChart>
      <c:catAx>
        <c:axId val="242625536"/>
        <c:scaling>
          <c:orientation val="minMax"/>
        </c:scaling>
        <c:delete val="0"/>
        <c:axPos val="b"/>
        <c:majorTickMark val="none"/>
        <c:minorTickMark val="none"/>
        <c:tickLblPos val="nextTo"/>
        <c:crossAx val="244021440"/>
        <c:crosses val="autoZero"/>
        <c:auto val="1"/>
        <c:lblAlgn val="ctr"/>
        <c:lblOffset val="100"/>
        <c:noMultiLvlLbl val="0"/>
      </c:catAx>
      <c:valAx>
        <c:axId val="244021440"/>
        <c:scaling>
          <c:orientation val="minMax"/>
        </c:scaling>
        <c:delete val="0"/>
        <c:axPos val="l"/>
        <c:majorGridlines/>
        <c:numFmt formatCode="0,000" sourceLinked="1"/>
        <c:majorTickMark val="none"/>
        <c:minorTickMark val="none"/>
        <c:tickLblPos val="nextTo"/>
        <c:crossAx val="2426255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Evolución del pasivo</a:t>
            </a:r>
          </a:p>
        </c:rich>
      </c:tx>
      <c:overlay val="0"/>
    </c:title>
    <c:autoTitleDeleted val="0"/>
    <c:plotArea>
      <c:layout/>
      <c:barChart>
        <c:barDir val="col"/>
        <c:grouping val="percentStacked"/>
        <c:varyColors val="0"/>
        <c:ser>
          <c:idx val="0"/>
          <c:order val="0"/>
          <c:tx>
            <c:strRef>
              <c:f>Indicadores!$C$323</c:f>
              <c:strCache>
                <c:ptCount val="1"/>
                <c:pt idx="0">
                  <c:v>A) PATRIMONIO NETO</c:v>
                </c:pt>
              </c:strCache>
            </c:strRef>
          </c:tx>
          <c:invertIfNegative val="0"/>
          <c:cat>
            <c:strRef>
              <c:f>Indicadores!$D$322:$I$322</c:f>
              <c:strCache>
                <c:ptCount val="6"/>
                <c:pt idx="0">
                  <c:v>Año X</c:v>
                </c:pt>
                <c:pt idx="1">
                  <c:v>Año X+1</c:v>
                </c:pt>
                <c:pt idx="2">
                  <c:v>Año X+2</c:v>
                </c:pt>
                <c:pt idx="3">
                  <c:v>Año X+3</c:v>
                </c:pt>
                <c:pt idx="4">
                  <c:v>Año X+4</c:v>
                </c:pt>
                <c:pt idx="5">
                  <c:v>Tendencia</c:v>
                </c:pt>
              </c:strCache>
            </c:strRef>
          </c:cat>
          <c:val>
            <c:numRef>
              <c:f>Indicadores!$D$323:$I$323</c:f>
              <c:numCache>
                <c:formatCode>#.##0_ ;[Red]\-#.##0\ </c:formatCode>
                <c:ptCount val="6"/>
                <c:pt idx="0">
                  <c:v>21250.308244489097</c:v>
                </c:pt>
                <c:pt idx="1">
                  <c:v>23395.598946180435</c:v>
                </c:pt>
                <c:pt idx="2">
                  <c:v>25132.334687148628</c:v>
                </c:pt>
                <c:pt idx="3">
                  <c:v>29079.39436718461</c:v>
                </c:pt>
                <c:pt idx="4">
                  <c:v>36988.525001662725</c:v>
                </c:pt>
                <c:pt idx="5">
                  <c:v>38317.300929938523</c:v>
                </c:pt>
              </c:numCache>
            </c:numRef>
          </c:val>
        </c:ser>
        <c:ser>
          <c:idx val="1"/>
          <c:order val="1"/>
          <c:tx>
            <c:strRef>
              <c:f>Indicadores!$C$336</c:f>
              <c:strCache>
                <c:ptCount val="1"/>
                <c:pt idx="0">
                  <c:v>B) PASIVO NO CORRIENTE</c:v>
                </c:pt>
              </c:strCache>
            </c:strRef>
          </c:tx>
          <c:invertIfNegative val="0"/>
          <c:cat>
            <c:strRef>
              <c:f>Indicadores!$D$322:$I$322</c:f>
              <c:strCache>
                <c:ptCount val="6"/>
                <c:pt idx="0">
                  <c:v>Año X</c:v>
                </c:pt>
                <c:pt idx="1">
                  <c:v>Año X+1</c:v>
                </c:pt>
                <c:pt idx="2">
                  <c:v>Año X+2</c:v>
                </c:pt>
                <c:pt idx="3">
                  <c:v>Año X+3</c:v>
                </c:pt>
                <c:pt idx="4">
                  <c:v>Año X+4</c:v>
                </c:pt>
                <c:pt idx="5">
                  <c:v>Tendencia</c:v>
                </c:pt>
              </c:strCache>
            </c:strRef>
          </c:cat>
          <c:val>
            <c:numRef>
              <c:f>Indicadores!$D$336:$I$336</c:f>
              <c:numCache>
                <c:formatCode>#.##0_ ;[Red]\-#.##0\ </c:formatCode>
                <c:ptCount val="6"/>
                <c:pt idx="0">
                  <c:v>3371.2682591940702</c:v>
                </c:pt>
                <c:pt idx="1">
                  <c:v>2314.059114455345</c:v>
                </c:pt>
                <c:pt idx="2">
                  <c:v>1191.6436229859962</c:v>
                </c:pt>
                <c:pt idx="3">
                  <c:v>0</c:v>
                </c:pt>
                <c:pt idx="4">
                  <c:v>0</c:v>
                </c:pt>
                <c:pt idx="5">
                  <c:v>-1341.5844905259628</c:v>
                </c:pt>
              </c:numCache>
            </c:numRef>
          </c:val>
        </c:ser>
        <c:ser>
          <c:idx val="2"/>
          <c:order val="2"/>
          <c:tx>
            <c:strRef>
              <c:f>Indicadores!$C$342</c:f>
              <c:strCache>
                <c:ptCount val="1"/>
                <c:pt idx="0">
                  <c:v>C) PASIVO CORRIENTE</c:v>
                </c:pt>
              </c:strCache>
            </c:strRef>
          </c:tx>
          <c:invertIfNegative val="0"/>
          <c:cat>
            <c:strRef>
              <c:f>Indicadores!$D$322:$I$322</c:f>
              <c:strCache>
                <c:ptCount val="6"/>
                <c:pt idx="0">
                  <c:v>Año X</c:v>
                </c:pt>
                <c:pt idx="1">
                  <c:v>Año X+1</c:v>
                </c:pt>
                <c:pt idx="2">
                  <c:v>Año X+2</c:v>
                </c:pt>
                <c:pt idx="3">
                  <c:v>Año X+3</c:v>
                </c:pt>
                <c:pt idx="4">
                  <c:v>Año X+4</c:v>
                </c:pt>
                <c:pt idx="5">
                  <c:v>Tendencia</c:v>
                </c:pt>
              </c:strCache>
            </c:strRef>
          </c:cat>
          <c:val>
            <c:numRef>
              <c:f>Indicadores!$D$342:$I$342</c:f>
              <c:numCache>
                <c:formatCode>#.##0_ ;[Red]\-#.##0\ </c:formatCode>
                <c:ptCount val="6"/>
                <c:pt idx="0">
                  <c:v>995.7909385730436</c:v>
                </c:pt>
                <c:pt idx="1">
                  <c:v>1057.2091447387252</c:v>
                </c:pt>
                <c:pt idx="2">
                  <c:v>1122.4154914693488</c:v>
                </c:pt>
                <c:pt idx="3">
                  <c:v>1191.6436229859951</c:v>
                </c:pt>
                <c:pt idx="4">
                  <c:v>0</c:v>
                </c:pt>
                <c:pt idx="5">
                  <c:v>316.26761988377734</c:v>
                </c:pt>
              </c:numCache>
            </c:numRef>
          </c:val>
        </c:ser>
        <c:dLbls>
          <c:showLegendKey val="0"/>
          <c:showVal val="0"/>
          <c:showCatName val="0"/>
          <c:showSerName val="0"/>
          <c:showPercent val="0"/>
          <c:showBubbleSize val="0"/>
        </c:dLbls>
        <c:gapWidth val="150"/>
        <c:overlap val="100"/>
        <c:axId val="241989632"/>
        <c:axId val="219920576"/>
      </c:barChart>
      <c:catAx>
        <c:axId val="241989632"/>
        <c:scaling>
          <c:orientation val="minMax"/>
        </c:scaling>
        <c:delete val="0"/>
        <c:axPos val="b"/>
        <c:majorTickMark val="out"/>
        <c:minorTickMark val="none"/>
        <c:tickLblPos val="nextTo"/>
        <c:crossAx val="219920576"/>
        <c:crosses val="autoZero"/>
        <c:auto val="1"/>
        <c:lblAlgn val="ctr"/>
        <c:lblOffset val="100"/>
        <c:noMultiLvlLbl val="0"/>
      </c:catAx>
      <c:valAx>
        <c:axId val="219920576"/>
        <c:scaling>
          <c:orientation val="minMax"/>
        </c:scaling>
        <c:delete val="0"/>
        <c:axPos val="l"/>
        <c:majorGridlines/>
        <c:numFmt formatCode="0%" sourceLinked="1"/>
        <c:majorTickMark val="out"/>
        <c:minorTickMark val="none"/>
        <c:tickLblPos val="nextTo"/>
        <c:crossAx val="241989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Diagrama de Gantt del periodo de maduración</a:t>
            </a:r>
          </a:p>
        </c:rich>
      </c:tx>
      <c:overlay val="0"/>
    </c:title>
    <c:autoTitleDeleted val="0"/>
    <c:plotArea>
      <c:layout/>
      <c:barChart>
        <c:barDir val="bar"/>
        <c:grouping val="stacked"/>
        <c:varyColors val="0"/>
        <c:ser>
          <c:idx val="0"/>
          <c:order val="0"/>
          <c:spPr>
            <a:noFill/>
            <a:ln>
              <a:noFill/>
            </a:ln>
          </c:spPr>
          <c:invertIfNegative val="0"/>
          <c:cat>
            <c:strRef>
              <c:f>Indicadores!$C$755:$C$764</c:f>
              <c:strCache>
                <c:ptCount val="10"/>
                <c:pt idx="0">
                  <c:v>Proveedores</c:v>
                </c:pt>
                <c:pt idx="1">
                  <c:v>Materias Primas</c:v>
                </c:pt>
                <c:pt idx="2">
                  <c:v>En curso</c:v>
                </c:pt>
                <c:pt idx="3">
                  <c:v>Acabados</c:v>
                </c:pt>
                <c:pt idx="4">
                  <c:v>Clientes</c:v>
                </c:pt>
                <c:pt idx="7">
                  <c:v>Ciclo producción</c:v>
                </c:pt>
                <c:pt idx="8">
                  <c:v>Ciclo Maduración</c:v>
                </c:pt>
                <c:pt idx="9">
                  <c:v>Ciclo de Caja</c:v>
                </c:pt>
              </c:strCache>
            </c:strRef>
          </c:cat>
          <c:val>
            <c:numRef>
              <c:f>Indicadores!$G$755:$G$764</c:f>
              <c:numCache>
                <c:formatCode>General</c:formatCode>
                <c:ptCount val="10"/>
                <c:pt idx="0">
                  <c:v>0</c:v>
                </c:pt>
                <c:pt idx="1">
                  <c:v>0</c:v>
                </c:pt>
                <c:pt idx="2">
                  <c:v>20</c:v>
                </c:pt>
                <c:pt idx="3">
                  <c:v>35</c:v>
                </c:pt>
                <c:pt idx="4">
                  <c:v>95</c:v>
                </c:pt>
                <c:pt idx="7">
                  <c:v>0</c:v>
                </c:pt>
                <c:pt idx="8">
                  <c:v>0</c:v>
                </c:pt>
                <c:pt idx="9">
                  <c:v>60</c:v>
                </c:pt>
              </c:numCache>
            </c:numRef>
          </c:val>
        </c:ser>
        <c:ser>
          <c:idx val="1"/>
          <c:order val="1"/>
          <c:invertIfNegative val="0"/>
          <c:cat>
            <c:strRef>
              <c:f>Indicadores!$C$755:$C$764</c:f>
              <c:strCache>
                <c:ptCount val="10"/>
                <c:pt idx="0">
                  <c:v>Proveedores</c:v>
                </c:pt>
                <c:pt idx="1">
                  <c:v>Materias Primas</c:v>
                </c:pt>
                <c:pt idx="2">
                  <c:v>En curso</c:v>
                </c:pt>
                <c:pt idx="3">
                  <c:v>Acabados</c:v>
                </c:pt>
                <c:pt idx="4">
                  <c:v>Clientes</c:v>
                </c:pt>
                <c:pt idx="7">
                  <c:v>Ciclo producción</c:v>
                </c:pt>
                <c:pt idx="8">
                  <c:v>Ciclo Maduración</c:v>
                </c:pt>
                <c:pt idx="9">
                  <c:v>Ciclo de Caja</c:v>
                </c:pt>
              </c:strCache>
            </c:strRef>
          </c:cat>
          <c:val>
            <c:numRef>
              <c:f>Indicadores!$D$755:$D$764</c:f>
              <c:numCache>
                <c:formatCode>General</c:formatCode>
                <c:ptCount val="10"/>
                <c:pt idx="0">
                  <c:v>60</c:v>
                </c:pt>
                <c:pt idx="1">
                  <c:v>20</c:v>
                </c:pt>
                <c:pt idx="2">
                  <c:v>15</c:v>
                </c:pt>
                <c:pt idx="3">
                  <c:v>60</c:v>
                </c:pt>
                <c:pt idx="4">
                  <c:v>40</c:v>
                </c:pt>
                <c:pt idx="7">
                  <c:v>95</c:v>
                </c:pt>
                <c:pt idx="8">
                  <c:v>135</c:v>
                </c:pt>
                <c:pt idx="9">
                  <c:v>75</c:v>
                </c:pt>
              </c:numCache>
            </c:numRef>
          </c:val>
        </c:ser>
        <c:dLbls>
          <c:showLegendKey val="0"/>
          <c:showVal val="0"/>
          <c:showCatName val="0"/>
          <c:showSerName val="0"/>
          <c:showPercent val="0"/>
          <c:showBubbleSize val="0"/>
        </c:dLbls>
        <c:gapWidth val="75"/>
        <c:overlap val="100"/>
        <c:axId val="1314816"/>
        <c:axId val="219890816"/>
      </c:barChart>
      <c:catAx>
        <c:axId val="1314816"/>
        <c:scaling>
          <c:orientation val="maxMin"/>
        </c:scaling>
        <c:delete val="0"/>
        <c:axPos val="l"/>
        <c:majorTickMark val="none"/>
        <c:minorTickMark val="none"/>
        <c:tickLblPos val="nextTo"/>
        <c:crossAx val="219890816"/>
        <c:crosses val="autoZero"/>
        <c:auto val="1"/>
        <c:lblAlgn val="ctr"/>
        <c:lblOffset val="100"/>
        <c:noMultiLvlLbl val="0"/>
      </c:catAx>
      <c:valAx>
        <c:axId val="219890816"/>
        <c:scaling>
          <c:orientation val="minMax"/>
        </c:scaling>
        <c:delete val="0"/>
        <c:axPos val="t"/>
        <c:majorGridlines/>
        <c:numFmt formatCode="General" sourceLinked="1"/>
        <c:majorTickMark val="none"/>
        <c:minorTickMark val="none"/>
        <c:tickLblPos val="nextTo"/>
        <c:spPr>
          <a:ln w="9525">
            <a:noFill/>
          </a:ln>
        </c:spPr>
        <c:crossAx val="1314816"/>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Indicadores!$B$795</c:f>
          <c:strCache>
            <c:ptCount val="1"/>
            <c:pt idx="0">
              <c:v>Matriz Boston de análisis de productos</c:v>
            </c:pt>
          </c:strCache>
        </c:strRef>
      </c:tx>
      <c:layout>
        <c:manualLayout>
          <c:xMode val="edge"/>
          <c:yMode val="edge"/>
          <c:x val="0.23955797469612475"/>
          <c:y val="4.1991938870317651E-2"/>
        </c:manualLayout>
      </c:layout>
      <c:overlay val="0"/>
    </c:title>
    <c:autoTitleDeleted val="0"/>
    <c:plotArea>
      <c:layout>
        <c:manualLayout>
          <c:layoutTarget val="inner"/>
          <c:xMode val="edge"/>
          <c:yMode val="edge"/>
          <c:x val="5.5962919208711069E-2"/>
          <c:y val="3.4772997202416417E-2"/>
          <c:w val="0.90715454766989867"/>
          <c:h val="0.81133795717211254"/>
        </c:manualLayout>
      </c:layout>
      <c:bubbleChart>
        <c:varyColors val="0"/>
        <c:ser>
          <c:idx val="0"/>
          <c:order val="0"/>
          <c:tx>
            <c:strRef>
              <c:f>Indicadores!$C$819</c:f>
              <c:strCache>
                <c:ptCount val="1"/>
                <c:pt idx="0">
                  <c:v>Producto A</c:v>
                </c:pt>
              </c:strCache>
            </c:strRef>
          </c:tx>
          <c:invertIfNegative val="0"/>
          <c:dLbls>
            <c:dLbl>
              <c:idx val="0"/>
              <c:showLegendKey val="0"/>
              <c:showVal val="0"/>
              <c:showCatName val="0"/>
              <c:showSerName val="1"/>
              <c:showPercent val="0"/>
              <c:showBubbleSize val="0"/>
            </c:dLbl>
            <c:showLegendKey val="0"/>
            <c:showVal val="1"/>
            <c:showCatName val="0"/>
            <c:showSerName val="0"/>
            <c:showPercent val="0"/>
            <c:showBubbleSize val="0"/>
            <c:showLeaderLines val="0"/>
          </c:dLbls>
          <c:xVal>
            <c:numRef>
              <c:f>Indicadores!$J$819</c:f>
              <c:numCache>
                <c:formatCode>#,#00%</c:formatCode>
                <c:ptCount val="1"/>
                <c:pt idx="0">
                  <c:v>0.22857142857142856</c:v>
                </c:pt>
              </c:numCache>
            </c:numRef>
          </c:xVal>
          <c:yVal>
            <c:numRef>
              <c:f>Indicadores!$I$819</c:f>
              <c:numCache>
                <c:formatCode>#,#00%</c:formatCode>
                <c:ptCount val="1"/>
                <c:pt idx="0">
                  <c:v>0.12179487179487179</c:v>
                </c:pt>
              </c:numCache>
            </c:numRef>
          </c:yVal>
          <c:bubbleSize>
            <c:numRef>
              <c:f>Indicadores!$D$819</c:f>
              <c:numCache>
                <c:formatCode>0</c:formatCode>
                <c:ptCount val="1"/>
                <c:pt idx="0">
                  <c:v>80000</c:v>
                </c:pt>
              </c:numCache>
            </c:numRef>
          </c:bubbleSize>
          <c:bubble3D val="0"/>
        </c:ser>
        <c:ser>
          <c:idx val="1"/>
          <c:order val="1"/>
          <c:tx>
            <c:strRef>
              <c:f>Indicadores!$C$820</c:f>
              <c:strCache>
                <c:ptCount val="1"/>
                <c:pt idx="0">
                  <c:v>Producto B</c:v>
                </c:pt>
              </c:strCache>
            </c:strRef>
          </c:tx>
          <c:spPr>
            <a:ln w="25400">
              <a:noFill/>
            </a:ln>
          </c:spPr>
          <c:invertIfNegative val="0"/>
          <c:dLbls>
            <c:showLegendKey val="0"/>
            <c:showVal val="0"/>
            <c:showCatName val="0"/>
            <c:showSerName val="1"/>
            <c:showPercent val="0"/>
            <c:showBubbleSize val="0"/>
            <c:showLeaderLines val="0"/>
          </c:dLbls>
          <c:xVal>
            <c:numRef>
              <c:f>Indicadores!$J$820</c:f>
              <c:numCache>
                <c:formatCode>#,#00%</c:formatCode>
                <c:ptCount val="1"/>
                <c:pt idx="0">
                  <c:v>0.1</c:v>
                </c:pt>
              </c:numCache>
            </c:numRef>
          </c:xVal>
          <c:yVal>
            <c:numRef>
              <c:f>Indicadores!$I$820</c:f>
              <c:numCache>
                <c:formatCode>#,#00%</c:formatCode>
                <c:ptCount val="1"/>
                <c:pt idx="0">
                  <c:v>0.12</c:v>
                </c:pt>
              </c:numCache>
            </c:numRef>
          </c:yVal>
          <c:bubbleSize>
            <c:numRef>
              <c:f>Indicadores!$D$820</c:f>
              <c:numCache>
                <c:formatCode>0</c:formatCode>
                <c:ptCount val="1"/>
                <c:pt idx="0">
                  <c:v>70000</c:v>
                </c:pt>
              </c:numCache>
            </c:numRef>
          </c:bubbleSize>
          <c:bubble3D val="0"/>
        </c:ser>
        <c:ser>
          <c:idx val="2"/>
          <c:order val="2"/>
          <c:tx>
            <c:strRef>
              <c:f>Indicadores!$C$821</c:f>
              <c:strCache>
                <c:ptCount val="1"/>
                <c:pt idx="0">
                  <c:v>Producto C</c:v>
                </c:pt>
              </c:strCache>
            </c:strRef>
          </c:tx>
          <c:spPr>
            <a:ln w="25400">
              <a:noFill/>
            </a:ln>
          </c:spPr>
          <c:invertIfNegative val="0"/>
          <c:dLbls>
            <c:showLegendKey val="0"/>
            <c:showVal val="0"/>
            <c:showCatName val="0"/>
            <c:showSerName val="1"/>
            <c:showPercent val="0"/>
            <c:showBubbleSize val="0"/>
            <c:showLeaderLines val="0"/>
          </c:dLbls>
          <c:xVal>
            <c:numRef>
              <c:f>Indicadores!$J$821</c:f>
              <c:numCache>
                <c:formatCode>#,#00%</c:formatCode>
                <c:ptCount val="1"/>
                <c:pt idx="0">
                  <c:v>0.19047619047619047</c:v>
                </c:pt>
              </c:numCache>
            </c:numRef>
          </c:xVal>
          <c:yVal>
            <c:numRef>
              <c:f>Indicadores!$I$821</c:f>
              <c:numCache>
                <c:formatCode>#,#00%</c:formatCode>
                <c:ptCount val="1"/>
                <c:pt idx="0">
                  <c:v>2.4390243902439025E-2</c:v>
                </c:pt>
              </c:numCache>
            </c:numRef>
          </c:yVal>
          <c:bubbleSize>
            <c:numRef>
              <c:f>Indicadores!$D$821</c:f>
              <c:numCache>
                <c:formatCode>0</c:formatCode>
                <c:ptCount val="1"/>
                <c:pt idx="0">
                  <c:v>40000</c:v>
                </c:pt>
              </c:numCache>
            </c:numRef>
          </c:bubbleSize>
          <c:bubble3D val="0"/>
        </c:ser>
        <c:ser>
          <c:idx val="3"/>
          <c:order val="3"/>
          <c:tx>
            <c:strRef>
              <c:f>Indicadores!$C$822</c:f>
              <c:strCache>
                <c:ptCount val="1"/>
                <c:pt idx="0">
                  <c:v>Producto D</c:v>
                </c:pt>
              </c:strCache>
            </c:strRef>
          </c:tx>
          <c:spPr>
            <a:ln w="25400">
              <a:noFill/>
            </a:ln>
          </c:spPr>
          <c:invertIfNegative val="0"/>
          <c:dLbls>
            <c:showLegendKey val="0"/>
            <c:showVal val="0"/>
            <c:showCatName val="0"/>
            <c:showSerName val="1"/>
            <c:showPercent val="0"/>
            <c:showBubbleSize val="0"/>
            <c:showLeaderLines val="0"/>
          </c:dLbls>
          <c:xVal>
            <c:numRef>
              <c:f>Indicadores!$J$822</c:f>
              <c:numCache>
                <c:formatCode>#,#00%</c:formatCode>
                <c:ptCount val="1"/>
                <c:pt idx="0">
                  <c:v>0.16666666666666666</c:v>
                </c:pt>
              </c:numCache>
            </c:numRef>
          </c:xVal>
          <c:yVal>
            <c:numRef>
              <c:f>Indicadores!$I$822</c:f>
              <c:numCache>
                <c:formatCode>#,#00%</c:formatCode>
                <c:ptCount val="1"/>
                <c:pt idx="0">
                  <c:v>3.4482758620689655E-2</c:v>
                </c:pt>
              </c:numCache>
            </c:numRef>
          </c:yVal>
          <c:bubbleSize>
            <c:numRef>
              <c:f>Indicadores!$D$822</c:f>
              <c:numCache>
                <c:formatCode>0</c:formatCode>
                <c:ptCount val="1"/>
                <c:pt idx="0">
                  <c:v>10000</c:v>
                </c:pt>
              </c:numCache>
            </c:numRef>
          </c:bubbleSize>
          <c:bubble3D val="0"/>
        </c:ser>
        <c:ser>
          <c:idx val="4"/>
          <c:order val="4"/>
          <c:tx>
            <c:strRef>
              <c:f>Indicadores!$C$823</c:f>
              <c:strCache>
                <c:ptCount val="1"/>
                <c:pt idx="0">
                  <c:v>Producto E</c:v>
                </c:pt>
              </c:strCache>
            </c:strRef>
          </c:tx>
          <c:spPr>
            <a:ln w="25400">
              <a:noFill/>
            </a:ln>
          </c:spPr>
          <c:invertIfNegative val="0"/>
          <c:dLbls>
            <c:showLegendKey val="0"/>
            <c:showVal val="0"/>
            <c:showCatName val="0"/>
            <c:showSerName val="1"/>
            <c:showPercent val="0"/>
            <c:showBubbleSize val="0"/>
            <c:showLeaderLines val="0"/>
          </c:dLbls>
          <c:xVal>
            <c:numRef>
              <c:f>Indicadores!$J$823</c:f>
              <c:numCache>
                <c:formatCode>#,#00%</c:formatCode>
                <c:ptCount val="1"/>
                <c:pt idx="0">
                  <c:v>0.08</c:v>
                </c:pt>
              </c:numCache>
            </c:numRef>
          </c:xVal>
          <c:yVal>
            <c:numRef>
              <c:f>Indicadores!$I$823</c:f>
              <c:numCache>
                <c:formatCode>#,#00%</c:formatCode>
                <c:ptCount val="1"/>
                <c:pt idx="0">
                  <c:v>2.564102564102564E-2</c:v>
                </c:pt>
              </c:numCache>
            </c:numRef>
          </c:yVal>
          <c:bubbleSize>
            <c:numRef>
              <c:f>Indicadores!$D$823</c:f>
              <c:numCache>
                <c:formatCode>0</c:formatCode>
                <c:ptCount val="1"/>
                <c:pt idx="0">
                  <c:v>16000</c:v>
                </c:pt>
              </c:numCache>
            </c:numRef>
          </c:bubbleSize>
          <c:bubble3D val="0"/>
        </c:ser>
        <c:dLbls>
          <c:showLegendKey val="0"/>
          <c:showVal val="1"/>
          <c:showCatName val="0"/>
          <c:showSerName val="0"/>
          <c:showPercent val="0"/>
          <c:showBubbleSize val="0"/>
        </c:dLbls>
        <c:bubbleScale val="100"/>
        <c:showNegBubbles val="0"/>
        <c:axId val="219892544"/>
        <c:axId val="219893120"/>
      </c:bubbleChart>
      <c:valAx>
        <c:axId val="219892544"/>
        <c:scaling>
          <c:orientation val="minMax"/>
        </c:scaling>
        <c:delete val="0"/>
        <c:axPos val="b"/>
        <c:title>
          <c:tx>
            <c:strRef>
              <c:f>Indicadores!$J$818</c:f>
              <c:strCache>
                <c:ptCount val="1"/>
                <c:pt idx="0">
                  <c:v>Cuota Mercado</c:v>
                </c:pt>
              </c:strCache>
            </c:strRef>
          </c:tx>
          <c:layout>
            <c:manualLayout>
              <c:xMode val="edge"/>
              <c:yMode val="edge"/>
              <c:x val="0.38517150592259508"/>
              <c:y val="0.88247461644604719"/>
            </c:manualLayout>
          </c:layout>
          <c:overlay val="0"/>
          <c:txPr>
            <a:bodyPr/>
            <a:lstStyle/>
            <a:p>
              <a:pPr>
                <a:defRPr sz="1800"/>
              </a:pPr>
              <a:endParaRPr lang="en-US"/>
            </a:p>
          </c:txPr>
        </c:title>
        <c:numFmt formatCode="0%" sourceLinked="0"/>
        <c:majorTickMark val="none"/>
        <c:minorTickMark val="none"/>
        <c:tickLblPos val="nextTo"/>
        <c:crossAx val="219893120"/>
        <c:crossesAt val="0"/>
        <c:crossBetween val="midCat"/>
      </c:valAx>
      <c:valAx>
        <c:axId val="219893120"/>
        <c:scaling>
          <c:orientation val="minMax"/>
        </c:scaling>
        <c:delete val="0"/>
        <c:axPos val="l"/>
        <c:title>
          <c:tx>
            <c:strRef>
              <c:f>Indicadores!$I$818</c:f>
              <c:strCache>
                <c:ptCount val="1"/>
                <c:pt idx="0">
                  <c:v>Crecimiento Sector</c:v>
                </c:pt>
              </c:strCache>
            </c:strRef>
          </c:tx>
          <c:layout>
            <c:manualLayout>
              <c:xMode val="edge"/>
              <c:yMode val="edge"/>
              <c:x val="7.6401174617250267E-2"/>
              <c:y val="0.26262389343261905"/>
            </c:manualLayout>
          </c:layout>
          <c:overlay val="0"/>
          <c:txPr>
            <a:bodyPr rot="-5400000" vert="horz"/>
            <a:lstStyle/>
            <a:p>
              <a:pPr>
                <a:defRPr sz="1800"/>
              </a:pPr>
              <a:endParaRPr lang="en-US"/>
            </a:p>
          </c:txPr>
        </c:title>
        <c:numFmt formatCode="0%" sourceLinked="0"/>
        <c:majorTickMark val="none"/>
        <c:minorTickMark val="none"/>
        <c:tickLblPos val="nextTo"/>
        <c:crossAx val="219892544"/>
        <c:crosses val="autoZero"/>
        <c:crossBetween val="midCat"/>
      </c:valAx>
      <c:spPr>
        <a:ln>
          <a:solidFill>
            <a:schemeClr val="accent1"/>
          </a:solidFill>
        </a:ln>
      </c:spPr>
    </c:plotArea>
    <c:plotVisOnly val="1"/>
    <c:dispBlanksAs val="gap"/>
    <c:showDLblsOverMax val="0"/>
  </c:chart>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Curva de Lorenz</a:t>
            </a:r>
            <a:r>
              <a:rPr lang="es-ES" baseline="0"/>
              <a:t> de dispersión salarial</a:t>
            </a:r>
            <a:endParaRPr lang="es-ES"/>
          </a:p>
        </c:rich>
      </c:tx>
      <c:overlay val="0"/>
    </c:title>
    <c:autoTitleDeleted val="0"/>
    <c:plotArea>
      <c:layout/>
      <c:lineChart>
        <c:grouping val="standard"/>
        <c:varyColors val="0"/>
        <c:ser>
          <c:idx val="0"/>
          <c:order val="0"/>
          <c:tx>
            <c:strRef>
              <c:f>Indicadores!$G$1015</c:f>
              <c:strCache>
                <c:ptCount val="1"/>
                <c:pt idx="0">
                  <c:v>Máxima igualdad</c:v>
                </c:pt>
              </c:strCache>
            </c:strRef>
          </c:tx>
          <c:marker>
            <c:symbol val="none"/>
          </c:marker>
          <c:cat>
            <c:numRef>
              <c:f>Indicadores!$I$1016:$I$1020</c:f>
              <c:numCache>
                <c:formatCode>0%</c:formatCode>
                <c:ptCount val="5"/>
                <c:pt idx="0">
                  <c:v>0</c:v>
                </c:pt>
                <c:pt idx="1">
                  <c:v>0.16666666666666666</c:v>
                </c:pt>
                <c:pt idx="2">
                  <c:v>0.3611111111111111</c:v>
                </c:pt>
                <c:pt idx="3">
                  <c:v>0.58333333333333337</c:v>
                </c:pt>
                <c:pt idx="4">
                  <c:v>1</c:v>
                </c:pt>
              </c:numCache>
            </c:numRef>
          </c:cat>
          <c:val>
            <c:numRef>
              <c:f>Indicadores!$G$1016:$G$1020</c:f>
              <c:numCache>
                <c:formatCode>0%</c:formatCode>
                <c:ptCount val="5"/>
                <c:pt idx="0">
                  <c:v>0</c:v>
                </c:pt>
                <c:pt idx="1">
                  <c:v>0.25</c:v>
                </c:pt>
                <c:pt idx="2">
                  <c:v>0.5</c:v>
                </c:pt>
                <c:pt idx="3">
                  <c:v>0.75</c:v>
                </c:pt>
                <c:pt idx="4">
                  <c:v>1</c:v>
                </c:pt>
              </c:numCache>
            </c:numRef>
          </c:val>
          <c:smooth val="0"/>
        </c:ser>
        <c:ser>
          <c:idx val="1"/>
          <c:order val="1"/>
          <c:tx>
            <c:strRef>
              <c:f>Indicadores!$I$1015</c:f>
              <c:strCache>
                <c:ptCount val="1"/>
                <c:pt idx="0">
                  <c:v>Dispersión Empresa</c:v>
                </c:pt>
              </c:strCache>
            </c:strRef>
          </c:tx>
          <c:marker>
            <c:symbol val="none"/>
          </c:marker>
          <c:cat>
            <c:numRef>
              <c:f>Indicadores!$I$1016:$I$1020</c:f>
              <c:numCache>
                <c:formatCode>0%</c:formatCode>
                <c:ptCount val="5"/>
                <c:pt idx="0">
                  <c:v>0</c:v>
                </c:pt>
                <c:pt idx="1">
                  <c:v>0.16666666666666666</c:v>
                </c:pt>
                <c:pt idx="2">
                  <c:v>0.3611111111111111</c:v>
                </c:pt>
                <c:pt idx="3">
                  <c:v>0.58333333333333337</c:v>
                </c:pt>
                <c:pt idx="4">
                  <c:v>1</c:v>
                </c:pt>
              </c:numCache>
            </c:numRef>
          </c:cat>
          <c:val>
            <c:numRef>
              <c:f>Indicadores!$I$1016:$I$1020</c:f>
              <c:numCache>
                <c:formatCode>0%</c:formatCode>
                <c:ptCount val="5"/>
                <c:pt idx="0">
                  <c:v>0</c:v>
                </c:pt>
                <c:pt idx="1">
                  <c:v>0.16666666666666666</c:v>
                </c:pt>
                <c:pt idx="2">
                  <c:v>0.3611111111111111</c:v>
                </c:pt>
                <c:pt idx="3">
                  <c:v>0.58333333333333337</c:v>
                </c:pt>
                <c:pt idx="4">
                  <c:v>1</c:v>
                </c:pt>
              </c:numCache>
            </c:numRef>
          </c:val>
          <c:smooth val="0"/>
        </c:ser>
        <c:dLbls>
          <c:showLegendKey val="0"/>
          <c:showVal val="0"/>
          <c:showCatName val="0"/>
          <c:showSerName val="0"/>
          <c:showPercent val="0"/>
          <c:showBubbleSize val="0"/>
        </c:dLbls>
        <c:marker val="1"/>
        <c:smooth val="0"/>
        <c:axId val="1316352"/>
        <c:axId val="219895424"/>
      </c:lineChart>
      <c:catAx>
        <c:axId val="1316352"/>
        <c:scaling>
          <c:orientation val="minMax"/>
        </c:scaling>
        <c:delete val="0"/>
        <c:axPos val="b"/>
        <c:numFmt formatCode="0%" sourceLinked="1"/>
        <c:majorTickMark val="none"/>
        <c:minorTickMark val="none"/>
        <c:tickLblPos val="nextTo"/>
        <c:crossAx val="219895424"/>
        <c:crosses val="autoZero"/>
        <c:auto val="1"/>
        <c:lblAlgn val="ctr"/>
        <c:lblOffset val="100"/>
        <c:noMultiLvlLbl val="0"/>
      </c:catAx>
      <c:valAx>
        <c:axId val="219895424"/>
        <c:scaling>
          <c:orientation val="minMax"/>
          <c:max val="1"/>
        </c:scaling>
        <c:delete val="0"/>
        <c:axPos val="l"/>
        <c:majorGridlines/>
        <c:numFmt formatCode="0%" sourceLinked="1"/>
        <c:majorTickMark val="none"/>
        <c:minorTickMark val="none"/>
        <c:tickLblPos val="nextTo"/>
        <c:crossAx val="13163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Indicadores!$C$953</c:f>
          <c:strCache>
            <c:ptCount val="1"/>
            <c:pt idx="0">
              <c:v>Reparto del valor añadido Empresa</c:v>
            </c:pt>
          </c:strCache>
        </c:strRef>
      </c:tx>
      <c:overlay val="0"/>
    </c:title>
    <c:autoTitleDeleted val="0"/>
    <c:plotArea>
      <c:layout/>
      <c:pieChart>
        <c:varyColors val="1"/>
        <c:ser>
          <c:idx val="0"/>
          <c:order val="0"/>
          <c:explosion val="25"/>
          <c:dLbls>
            <c:showLegendKey val="0"/>
            <c:showVal val="0"/>
            <c:showCatName val="1"/>
            <c:showSerName val="0"/>
            <c:showPercent val="1"/>
            <c:showBubbleSize val="0"/>
            <c:showLeaderLines val="1"/>
          </c:dLbls>
          <c:cat>
            <c:strRef>
              <c:f>Indicadores!$C$955:$C$959</c:f>
              <c:strCache>
                <c:ptCount val="5"/>
                <c:pt idx="0">
                  <c:v> Remuneración al Trabajo</c:v>
                </c:pt>
                <c:pt idx="1">
                  <c:v>Remuneración al Capital Propio</c:v>
                </c:pt>
                <c:pt idx="2">
                  <c:v>Remuneración al Capital Ajeno</c:v>
                </c:pt>
                <c:pt idx="3">
                  <c:v> Participación del Estado</c:v>
                </c:pt>
                <c:pt idx="4">
                  <c:v>Mantenimiento y Expansión de la Empresa</c:v>
                </c:pt>
              </c:strCache>
            </c:strRef>
          </c:cat>
          <c:val>
            <c:numRef>
              <c:f>Indicadores!$H$955:$H$959</c:f>
              <c:numCache>
                <c:formatCode>#.##0\ "€"</c:formatCode>
                <c:ptCount val="5"/>
                <c:pt idx="0">
                  <c:v>71312.238201600019</c:v>
                </c:pt>
                <c:pt idx="1">
                  <c:v>8116.1750005542417</c:v>
                </c:pt>
                <c:pt idx="2">
                  <c:v>39.082522377385843</c:v>
                </c:pt>
                <c:pt idx="3">
                  <c:v>10821.566667405656</c:v>
                </c:pt>
                <c:pt idx="4">
                  <c:v>25158.525001662725</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Indicadores!$C$961</c:f>
          <c:strCache>
            <c:ptCount val="1"/>
            <c:pt idx="0">
              <c:v>Reparto del valor añadido Sector</c:v>
            </c:pt>
          </c:strCache>
        </c:strRef>
      </c:tx>
      <c:overlay val="0"/>
    </c:title>
    <c:autoTitleDeleted val="0"/>
    <c:plotArea>
      <c:layout/>
      <c:pieChart>
        <c:varyColors val="1"/>
        <c:ser>
          <c:idx val="0"/>
          <c:order val="0"/>
          <c:explosion val="25"/>
          <c:dLbls>
            <c:showLegendKey val="0"/>
            <c:showVal val="0"/>
            <c:showCatName val="1"/>
            <c:showSerName val="0"/>
            <c:showPercent val="1"/>
            <c:showBubbleSize val="0"/>
            <c:showLeaderLines val="1"/>
          </c:dLbls>
          <c:cat>
            <c:strRef>
              <c:f>Indicadores!$C$963:$C$967</c:f>
              <c:strCache>
                <c:ptCount val="5"/>
                <c:pt idx="0">
                  <c:v> Remuneración al Trabajo</c:v>
                </c:pt>
                <c:pt idx="1">
                  <c:v>Remuneración al Capital Propio</c:v>
                </c:pt>
                <c:pt idx="2">
                  <c:v>Remuneración al Capital Ajeno</c:v>
                </c:pt>
                <c:pt idx="3">
                  <c:v> Participación del Estado</c:v>
                </c:pt>
                <c:pt idx="4">
                  <c:v>Mantenimiento y Expansión de la Empresa</c:v>
                </c:pt>
              </c:strCache>
            </c:strRef>
          </c:cat>
          <c:val>
            <c:numRef>
              <c:f>Indicadores!$H$963:$H$967</c:f>
              <c:numCache>
                <c:formatCode>#.##0\ "€"</c:formatCode>
                <c:ptCount val="5"/>
                <c:pt idx="0">
                  <c:v>8598042</c:v>
                </c:pt>
                <c:pt idx="1">
                  <c:v>1096025</c:v>
                </c:pt>
                <c:pt idx="2">
                  <c:v>680122</c:v>
                </c:pt>
                <c:pt idx="3">
                  <c:v>451952</c:v>
                </c:pt>
                <c:pt idx="4">
                  <c:v>2300631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Cascada de resultados de la empresa</a:t>
            </a:r>
          </a:p>
        </c:rich>
      </c:tx>
      <c:overlay val="0"/>
    </c:title>
    <c:autoTitleDeleted val="0"/>
    <c:plotArea>
      <c:layout>
        <c:manualLayout>
          <c:layoutTarget val="inner"/>
          <c:xMode val="edge"/>
          <c:yMode val="edge"/>
          <c:x val="1.9749142264578797E-2"/>
          <c:y val="0.15861104604819981"/>
          <c:w val="0.87335695175189876"/>
          <c:h val="0.80679973844715591"/>
        </c:manualLayout>
      </c:layout>
      <c:barChart>
        <c:barDir val="bar"/>
        <c:grouping val="stacked"/>
        <c:varyColors val="0"/>
        <c:ser>
          <c:idx val="0"/>
          <c:order val="0"/>
          <c:spPr>
            <a:noFill/>
            <a:ln>
              <a:noFill/>
            </a:ln>
          </c:spPr>
          <c:invertIfNegative val="0"/>
          <c:val>
            <c:numRef>
              <c:f>(Indicadores!$D$398,Indicadores!$D$400,Indicadores!$D$402,Indicadores!$D$404,Indicadores!$D$406,Indicadores!$D$408,Indicadores!$D$410)</c:f>
              <c:numCache>
                <c:formatCode>_-* #.##0\ _€_-;\-* #.##0\ _€_-;_-* "-"??\ _€_-;_-@_-</c:formatCode>
                <c:ptCount val="7"/>
                <c:pt idx="0">
                  <c:v>0</c:v>
                </c:pt>
                <c:pt idx="1">
                  <c:v>0</c:v>
                </c:pt>
                <c:pt idx="2">
                  <c:v>200400</c:v>
                </c:pt>
                <c:pt idx="3">
                  <c:v>200400</c:v>
                </c:pt>
                <c:pt idx="4">
                  <c:v>200692.7853431305</c:v>
                </c:pt>
                <c:pt idx="5">
                  <c:v>200692.7853431305</c:v>
                </c:pt>
                <c:pt idx="6">
                  <c:v>204519.58900734788</c:v>
                </c:pt>
              </c:numCache>
            </c:numRef>
          </c:val>
        </c:ser>
        <c:ser>
          <c:idx val="1"/>
          <c:order val="1"/>
          <c:spPr>
            <a:solidFill>
              <a:srgbClr val="FEFCBA"/>
            </a:solidFill>
          </c:spPr>
          <c:invertIfNegative val="0"/>
          <c:dPt>
            <c:idx val="0"/>
            <c:invertIfNegative val="0"/>
            <c:bubble3D val="0"/>
            <c:spPr>
              <a:solidFill>
                <a:schemeClr val="accent4">
                  <a:lumMod val="60000"/>
                  <a:lumOff val="40000"/>
                </a:schemeClr>
              </a:solidFill>
            </c:spPr>
          </c:dPt>
          <c:dLbls>
            <c:dLbl>
              <c:idx val="0"/>
              <c:tx>
                <c:strRef>
                  <c:f>Indicadores!$E$397</c:f>
                  <c:strCache>
                    <c:ptCount val="1"/>
                    <c:pt idx="0">
                      <c:v>Ventas</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(Indicadores!$E$398,Indicadores!$E$400,Indicadores!$E$402,Indicadores!$E$404,Indicadores!$E$406,Indicadores!$E$408,Indicadores!$E$410)</c:f>
              <c:numCache>
                <c:formatCode>_-* #.##0\ _€_-;\-* #.##0\ _€_-;_-* "-"??\ _€_-;_-@_-</c:formatCode>
                <c:ptCount val="7"/>
                <c:pt idx="0">
                  <c:v>274951.90800000005</c:v>
                </c:pt>
              </c:numCache>
            </c:numRef>
          </c:val>
        </c:ser>
        <c:ser>
          <c:idx val="2"/>
          <c:order val="2"/>
          <c:invertIfNegative val="0"/>
          <c:dLbls>
            <c:dLbl>
              <c:idx val="0"/>
              <c:tx>
                <c:strRef>
                  <c:f>Indicadores!$F$397</c:f>
                  <c:strCache>
                    <c:ptCount val="1"/>
                    <c:pt idx="0">
                      <c:v>Otros</c:v>
                    </c:pt>
                  </c:strCache>
                </c:strRef>
              </c:tx>
              <c:showLegendKey val="0"/>
              <c:showVal val="1"/>
              <c:showCatName val="0"/>
              <c:showSerName val="0"/>
              <c:showPercent val="0"/>
              <c:showBubbleSize val="0"/>
            </c:dLbl>
            <c:txPr>
              <a:bodyPr/>
              <a:lstStyle/>
              <a:p>
                <a:pPr>
                  <a:defRPr sz="1600" b="1"/>
                </a:pPr>
                <a:endParaRPr lang="en-US"/>
              </a:p>
            </c:txPr>
            <c:showLegendKey val="0"/>
            <c:showVal val="1"/>
            <c:showCatName val="0"/>
            <c:showSerName val="0"/>
            <c:showPercent val="0"/>
            <c:showBubbleSize val="0"/>
            <c:showLeaderLines val="0"/>
          </c:dLbls>
          <c:val>
            <c:numRef>
              <c:f>(Indicadores!$F$398,Indicadores!$F$400,Indicadores!$F$402,Indicadores!$F$404,Indicadores!$F$406,Indicadores!$F$408,Indicadores!$F$410)</c:f>
              <c:numCache>
                <c:formatCode>_-* #.##0\ _€_-;\-* #.##0\ _€_-;_-* "-"??\ _€_-;_-@_-</c:formatCode>
                <c:ptCount val="7"/>
                <c:pt idx="0">
                  <c:v>0</c:v>
                </c:pt>
              </c:numCache>
            </c:numRef>
          </c:val>
        </c:ser>
        <c:ser>
          <c:idx val="3"/>
          <c:order val="3"/>
          <c:spPr>
            <a:solidFill>
              <a:schemeClr val="accent1">
                <a:lumMod val="40000"/>
                <a:lumOff val="60000"/>
              </a:schemeClr>
            </a:solidFill>
          </c:spPr>
          <c:invertIfNegative val="0"/>
          <c:dLbls>
            <c:dLbl>
              <c:idx val="1"/>
              <c:tx>
                <c:strRef>
                  <c:f>Indicadores!$G$399</c:f>
                  <c:strCache>
                    <c:ptCount val="1"/>
                    <c:pt idx="0">
                      <c:v>Compras</c:v>
                    </c:pt>
                  </c:strCache>
                </c:strRef>
              </c:tx>
              <c:spPr/>
              <c:txPr>
                <a:bodyPr/>
                <a:lstStyle/>
                <a:p>
                  <a:pPr>
                    <a:defRPr sz="1600" b="1"/>
                  </a:pPr>
                  <a:endParaRPr lang="en-US"/>
                </a:p>
              </c:txPr>
              <c:showLegendKey val="0"/>
              <c:showVal val="1"/>
              <c:showCatName val="0"/>
              <c:showSerName val="0"/>
              <c:showPercent val="0"/>
              <c:showBubbleSize val="0"/>
            </c:dLbl>
            <c:showLegendKey val="0"/>
            <c:showVal val="0"/>
            <c:showCatName val="0"/>
            <c:showSerName val="0"/>
            <c:showPercent val="0"/>
            <c:showBubbleSize val="0"/>
          </c:dLbls>
          <c:val>
            <c:numRef>
              <c:f>(Indicadores!$G$398,Indicadores!$G$400,Indicadores!$G$402,Indicadores!$G$404,Indicadores!$G$406,Indicadores!$G$408,Indicadores!$G$410)</c:f>
              <c:numCache>
                <c:formatCode>_-* #.##0\ _€_-;\-* #.##0\ _€_-;_-* "-"??\ _€_-;_-@_-</c:formatCode>
                <c:ptCount val="7"/>
                <c:pt idx="1">
                  <c:v>108000</c:v>
                </c:pt>
              </c:numCache>
            </c:numRef>
          </c:val>
        </c:ser>
        <c:ser>
          <c:idx val="4"/>
          <c:order val="4"/>
          <c:invertIfNegative val="0"/>
          <c:dLbls>
            <c:dLbl>
              <c:idx val="1"/>
              <c:tx>
                <c:strRef>
                  <c:f>Indicadores!$H$399</c:f>
                  <c:strCache>
                    <c:ptCount val="1"/>
                    <c:pt idx="0">
                      <c:v>G Personal</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(Indicadores!$H$398,Indicadores!$H$400,Indicadores!$H$402,Indicadores!$H$404,Indicadores!$H$406,Indicadores!$H$408,Indicadores!$H$410)</c:f>
              <c:numCache>
                <c:formatCode>_-* #.##0\ _€_-;\-* #.##0\ _€_-;_-* "-"??\ _€_-;_-@_-</c:formatCode>
                <c:ptCount val="7"/>
                <c:pt idx="1">
                  <c:v>63360</c:v>
                </c:pt>
              </c:numCache>
            </c:numRef>
          </c:val>
        </c:ser>
        <c:ser>
          <c:idx val="5"/>
          <c:order val="5"/>
          <c:invertIfNegative val="0"/>
          <c:dLbls>
            <c:dLbl>
              <c:idx val="1"/>
              <c:tx>
                <c:strRef>
                  <c:f>Indicadores!$I$399</c:f>
                  <c:strCache>
                    <c:ptCount val="1"/>
                    <c:pt idx="0">
                      <c:v>G Expl</c:v>
                    </c:pt>
                  </c:strCache>
                </c:strRef>
              </c:tx>
              <c:spPr/>
              <c:txPr>
                <a:bodyPr/>
                <a:lstStyle/>
                <a:p>
                  <a:pPr>
                    <a:defRPr sz="1600" b="1"/>
                  </a:pPr>
                  <a:endParaRPr lang="en-US"/>
                </a:p>
              </c:txPr>
              <c:showLegendKey val="0"/>
              <c:showVal val="1"/>
              <c:showCatName val="0"/>
              <c:showSerName val="0"/>
              <c:showPercent val="0"/>
              <c:showBubbleSize val="0"/>
            </c:dLbl>
            <c:showLegendKey val="0"/>
            <c:showVal val="0"/>
            <c:showCatName val="0"/>
            <c:showSerName val="0"/>
            <c:showPercent val="0"/>
            <c:showBubbleSize val="0"/>
          </c:dLbls>
          <c:val>
            <c:numRef>
              <c:f>(Indicadores!$I$398,Indicadores!$I$400,Indicadores!$I$402,Indicadores!$I$404,Indicadores!$I$406,Indicadores!$I$408,Indicadores!$I$410)</c:f>
              <c:numCache>
                <c:formatCode>_-* #.##0\ _€_-;\-* #.##0\ _€_-;_-* "-"??\ _€_-;_-@_-</c:formatCode>
                <c:ptCount val="7"/>
                <c:pt idx="1">
                  <c:v>28080</c:v>
                </c:pt>
              </c:numCache>
            </c:numRef>
          </c:val>
        </c:ser>
        <c:ser>
          <c:idx val="6"/>
          <c:order val="6"/>
          <c:invertIfNegative val="0"/>
          <c:dLbls>
            <c:dLbl>
              <c:idx val="1"/>
              <c:tx>
                <c:strRef>
                  <c:f>Indicadores!$J$399</c:f>
                  <c:strCache>
                    <c:ptCount val="1"/>
                    <c:pt idx="0">
                      <c:v>Amort</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(Indicadores!$J$398,Indicadores!$J$400,Indicadores!$J$402,Indicadores!$J$404,Indicadores!$J$406,Indicadores!$J$408,Indicadores!$J$410)</c:f>
              <c:numCache>
                <c:formatCode>_-* #.##0\ _€_-;\-* #.##0\ _€_-;_-* "-"??\ _€_-;_-@_-</c:formatCode>
                <c:ptCount val="7"/>
                <c:pt idx="1">
                  <c:v>960</c:v>
                </c:pt>
              </c:numCache>
            </c:numRef>
          </c:val>
        </c:ser>
        <c:ser>
          <c:idx val="7"/>
          <c:order val="7"/>
          <c:invertIfNegative val="0"/>
          <c:dLbls>
            <c:dLbl>
              <c:idx val="2"/>
              <c:tx>
                <c:strRef>
                  <c:f>Indicadores!$K$401</c:f>
                  <c:strCache>
                    <c:ptCount val="1"/>
                    <c:pt idx="0">
                      <c:v>Bº Explotación</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(Indicadores!$K$398,Indicadores!$K$400,Indicadores!$K$402,Indicadores!$K$404,Indicadores!$K$406,Indicadores!$K$408,Indicadores!$K$410)</c:f>
              <c:numCache>
                <c:formatCode>_-* #.##0\ _€_-;\-* #.##0\ _€_-;_-* "-"??\ _€_-;_-@_-</c:formatCode>
                <c:ptCount val="7"/>
                <c:pt idx="2">
                  <c:v>15600</c:v>
                </c:pt>
              </c:numCache>
            </c:numRef>
          </c:val>
        </c:ser>
        <c:ser>
          <c:idx val="8"/>
          <c:order val="8"/>
          <c:invertIfNegative val="0"/>
          <c:val>
            <c:numRef>
              <c:f>(Indicadores!$L$398,Indicadores!$L$400,Indicadores!$L$402,Indicadores!$L$404,Indicadores!$L$406,Indicadores!$L$408,Indicadores!$L$410)</c:f>
              <c:numCache>
                <c:formatCode>_-* #.##0\ _€_-;\-* #.##0\ _€_-;_-* "-"??\ _€_-;_-@_-</c:formatCode>
                <c:ptCount val="7"/>
                <c:pt idx="2">
                  <c:v>0</c:v>
                </c:pt>
              </c:numCache>
            </c:numRef>
          </c:val>
        </c:ser>
        <c:ser>
          <c:idx val="9"/>
          <c:order val="9"/>
          <c:invertIfNegative val="0"/>
          <c:dLbls>
            <c:dLbl>
              <c:idx val="3"/>
              <c:tx>
                <c:strRef>
                  <c:f>Indicadores!$M$403</c:f>
                  <c:strCache>
                    <c:ptCount val="1"/>
                    <c:pt idx="0">
                      <c:v>Gastos Fin</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(Indicadores!$M$398,Indicadores!$M$400,Indicadores!$M$402,Indicadores!$M$404,Indicadores!$M$406,Indicadores!$M$408,Indicadores!$M$410)</c:f>
              <c:numCache>
                <c:formatCode>_-* #.##0\ _€_-;\-* #.##0\ _€_-;_-* "-"??\ _€_-;_-@_-</c:formatCode>
                <c:ptCount val="7"/>
                <c:pt idx="3">
                  <c:v>292.78534313049511</c:v>
                </c:pt>
              </c:numCache>
            </c:numRef>
          </c:val>
        </c:ser>
        <c:ser>
          <c:idx val="10"/>
          <c:order val="10"/>
          <c:invertIfNegative val="0"/>
          <c:dLbls>
            <c:dLbl>
              <c:idx val="4"/>
              <c:tx>
                <c:strRef>
                  <c:f>Indicadores!$N$405</c:f>
                  <c:strCache>
                    <c:ptCount val="1"/>
                    <c:pt idx="0">
                      <c:v>BAI</c:v>
                    </c:pt>
                  </c:strCache>
                </c:strRef>
              </c:tx>
              <c:showLegendKey val="0"/>
              <c:showVal val="1"/>
              <c:showCatName val="0"/>
              <c:showSerName val="0"/>
              <c:showPercent val="0"/>
              <c:showBubbleSize val="0"/>
            </c:dLbl>
            <c:txPr>
              <a:bodyPr/>
              <a:lstStyle/>
              <a:p>
                <a:pPr>
                  <a:defRPr sz="1400" b="1"/>
                </a:pPr>
                <a:endParaRPr lang="en-US"/>
              </a:p>
            </c:txPr>
            <c:showLegendKey val="0"/>
            <c:showVal val="1"/>
            <c:showCatName val="0"/>
            <c:showSerName val="0"/>
            <c:showPercent val="0"/>
            <c:showBubbleSize val="0"/>
            <c:showLeaderLines val="0"/>
          </c:dLbls>
          <c:val>
            <c:numRef>
              <c:f>(Indicadores!$N$398,Indicadores!$N$400,Indicadores!$N$402,Indicadores!$N$404,Indicadores!$N$406,Indicadores!$N$408,Indicadores!$N$410)</c:f>
              <c:numCache>
                <c:formatCode>_-* #.##0\ _€_-;\-* #.##0\ _€_-;_-* "-"??\ _€_-;_-@_-</c:formatCode>
                <c:ptCount val="7"/>
                <c:pt idx="4">
                  <c:v>15307.214656869504</c:v>
                </c:pt>
              </c:numCache>
            </c:numRef>
          </c:val>
        </c:ser>
        <c:ser>
          <c:idx val="11"/>
          <c:order val="11"/>
          <c:invertIfNegative val="0"/>
          <c:val>
            <c:numRef>
              <c:f>(Indicadores!$O$398,Indicadores!$O$400,Indicadores!$O$402,Indicadores!$O$404,Indicadores!$O$406,Indicadores!$O$408,Indicadores!$O$410)</c:f>
              <c:numCache>
                <c:formatCode>_-* #.##0\ _€_-;\-* #.##0\ _€_-;_-* "-"??\ _€_-;_-@_-</c:formatCode>
                <c:ptCount val="7"/>
                <c:pt idx="5">
                  <c:v>3826.8036642173761</c:v>
                </c:pt>
              </c:numCache>
            </c:numRef>
          </c:val>
        </c:ser>
        <c:ser>
          <c:idx val="12"/>
          <c:order val="12"/>
          <c:invertIfNegative val="0"/>
          <c:dLbls>
            <c:dLbl>
              <c:idx val="5"/>
              <c:tx>
                <c:strRef>
                  <c:f>Indicadores!$P$407</c:f>
                  <c:strCache>
                    <c:ptCount val="1"/>
                    <c:pt idx="0">
                      <c:v>BDII</c:v>
                    </c:pt>
                  </c:strCache>
                </c:strRef>
              </c:tx>
              <c:spPr/>
              <c:txPr>
                <a:bodyPr/>
                <a:lstStyle/>
                <a:p>
                  <a:pPr>
                    <a:defRPr sz="14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(Indicadores!$P$398,Indicadores!$P$400,Indicadores!$P$402,Indicadores!$P$404,Indicadores!$P$406,Indicadores!$P$408,Indicadores!$P$410)</c:f>
              <c:numCache>
                <c:formatCode>_-* #.##0\ _€_-;\-* #.##0\ _€_-;_-* "-"??\ _€_-;_-@_-</c:formatCode>
                <c:ptCount val="7"/>
                <c:pt idx="5">
                  <c:v>11480.410992652129</c:v>
                </c:pt>
              </c:numCache>
            </c:numRef>
          </c:val>
        </c:ser>
        <c:ser>
          <c:idx val="13"/>
          <c:order val="13"/>
          <c:invertIfNegative val="0"/>
          <c:val>
            <c:numRef>
              <c:f>(Indicadores!$Q$398,Indicadores!$Q$400,Indicadores!$Q$402,Indicadores!$Q$404,Indicadores!$Q$406,Indicadores!$Q$408,Indicadores!$Q$410)</c:f>
              <c:numCache>
                <c:formatCode>_-* #.##0\ _€_-;\-* #.##0\ _€_-;_-* "-"??\ _€_-;_-@_-</c:formatCode>
                <c:ptCount val="7"/>
                <c:pt idx="6">
                  <c:v>2870.1027481630322</c:v>
                </c:pt>
              </c:numCache>
            </c:numRef>
          </c:val>
        </c:ser>
        <c:ser>
          <c:idx val="14"/>
          <c:order val="14"/>
          <c:invertIfNegative val="0"/>
          <c:val>
            <c:numRef>
              <c:f>(Indicadores!$R$398,Indicadores!$R$400,Indicadores!$R$402,Indicadores!$R$404,Indicadores!$R$406,Indicadores!$R$408,Indicadores!$R$410)</c:f>
              <c:numCache>
                <c:formatCode>_-* #.##0\ _€_-;\-* #.##0\ _€_-;_-* "-"??\ _€_-;_-@_-</c:formatCode>
                <c:ptCount val="7"/>
                <c:pt idx="6">
                  <c:v>8610.308244489097</c:v>
                </c:pt>
              </c:numCache>
            </c:numRef>
          </c:val>
        </c:ser>
        <c:dLbls>
          <c:showLegendKey val="0"/>
          <c:showVal val="0"/>
          <c:showCatName val="0"/>
          <c:showSerName val="0"/>
          <c:showPercent val="0"/>
          <c:showBubbleSize val="0"/>
        </c:dLbls>
        <c:gapWidth val="35"/>
        <c:overlap val="100"/>
        <c:axId val="244797952"/>
        <c:axId val="244845376"/>
      </c:barChart>
      <c:catAx>
        <c:axId val="244797952"/>
        <c:scaling>
          <c:orientation val="maxMin"/>
        </c:scaling>
        <c:delete val="1"/>
        <c:axPos val="l"/>
        <c:majorTickMark val="none"/>
        <c:minorTickMark val="none"/>
        <c:tickLblPos val="nextTo"/>
        <c:crossAx val="244845376"/>
        <c:crosses val="autoZero"/>
        <c:auto val="1"/>
        <c:lblAlgn val="ctr"/>
        <c:lblOffset val="100"/>
        <c:noMultiLvlLbl val="0"/>
      </c:catAx>
      <c:valAx>
        <c:axId val="244845376"/>
        <c:scaling>
          <c:orientation val="minMax"/>
        </c:scaling>
        <c:delete val="0"/>
        <c:axPos val="t"/>
        <c:majorGridlines/>
        <c:numFmt formatCode="_-* #.##0\ _€_-;\-* #.##0\ _€_-;_-* &quot;-&quot;??\ _€_-;_-@_-" sourceLinked="1"/>
        <c:majorTickMark val="none"/>
        <c:minorTickMark val="none"/>
        <c:tickLblPos val="nextTo"/>
        <c:crossAx val="244797952"/>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Cascada de resultados del sector</a:t>
            </a:r>
          </a:p>
        </c:rich>
      </c:tx>
      <c:overlay val="0"/>
    </c:title>
    <c:autoTitleDeleted val="0"/>
    <c:plotArea>
      <c:layout>
        <c:manualLayout>
          <c:layoutTarget val="inner"/>
          <c:xMode val="edge"/>
          <c:yMode val="edge"/>
          <c:x val="1.9062874069951871E-2"/>
          <c:y val="0.14890256224265755"/>
          <c:w val="0.95488349716872623"/>
          <c:h val="0.82207486949312614"/>
        </c:manualLayout>
      </c:layout>
      <c:barChart>
        <c:barDir val="bar"/>
        <c:grouping val="stacked"/>
        <c:varyColors val="0"/>
        <c:ser>
          <c:idx val="0"/>
          <c:order val="0"/>
          <c:spPr>
            <a:noFill/>
            <a:ln>
              <a:noFill/>
            </a:ln>
          </c:spPr>
          <c:invertIfNegative val="0"/>
          <c:val>
            <c:numRef>
              <c:f>(Indicadores!$D$414,Indicadores!$D$416,Indicadores!$D$418,Indicadores!$D$420,Indicadores!$D$422,Indicadores!$D$424,Indicadores!$D$426)</c:f>
              <c:numCache>
                <c:formatCode>_-* #.##0\ _€_-;\-* #.##0\ _€_-;_-* "-"??\ _€_-;_-@_-</c:formatCode>
                <c:ptCount val="7"/>
                <c:pt idx="0">
                  <c:v>0</c:v>
                </c:pt>
                <c:pt idx="1">
                  <c:v>0</c:v>
                </c:pt>
                <c:pt idx="2">
                  <c:v>68364863</c:v>
                </c:pt>
                <c:pt idx="3">
                  <c:v>68364863</c:v>
                </c:pt>
                <c:pt idx="4">
                  <c:v>69044985</c:v>
                </c:pt>
                <c:pt idx="5">
                  <c:v>69044985</c:v>
                </c:pt>
                <c:pt idx="6">
                  <c:v>69496937</c:v>
                </c:pt>
              </c:numCache>
            </c:numRef>
          </c:val>
        </c:ser>
        <c:ser>
          <c:idx val="1"/>
          <c:order val="1"/>
          <c:spPr>
            <a:solidFill>
              <a:schemeClr val="accent4">
                <a:lumMod val="60000"/>
                <a:lumOff val="40000"/>
              </a:schemeClr>
            </a:solidFill>
          </c:spPr>
          <c:invertIfNegative val="0"/>
          <c:dLbls>
            <c:dLbl>
              <c:idx val="0"/>
              <c:tx>
                <c:rich>
                  <a:bodyPr/>
                  <a:lstStyle/>
                  <a:p>
                    <a:pPr>
                      <a:defRPr sz="1400" b="1"/>
                    </a:pPr>
                    <a:r>
                      <a:rPr lang="en-US" sz="1600" b="1"/>
                      <a:t>Ventas</a:t>
                    </a:r>
                  </a:p>
                </c:rich>
              </c:tx>
              <c:spPr/>
              <c:showLegendKey val="0"/>
              <c:showVal val="1"/>
              <c:showCatName val="0"/>
              <c:showSerName val="0"/>
              <c:showPercent val="0"/>
              <c:showBubbleSize val="0"/>
            </c:dLbl>
            <c:showLegendKey val="0"/>
            <c:showVal val="0"/>
            <c:showCatName val="0"/>
            <c:showSerName val="0"/>
            <c:showPercent val="0"/>
            <c:showBubbleSize val="0"/>
          </c:dLbls>
          <c:val>
            <c:numRef>
              <c:f>(Indicadores!$E$414,Indicadores!$E$416,Indicadores!$E$418,Indicadores!$E$420,Indicadores!$E$422,Indicadores!$E$424,Indicadores!$E$426)</c:f>
              <c:numCache>
                <c:formatCode>_-* #.##0\ _€_-;\-* #.##0\ _€_-;_-* "-"??\ _€_-;_-@_-</c:formatCode>
                <c:ptCount val="7"/>
                <c:pt idx="0">
                  <c:v>69095732</c:v>
                </c:pt>
              </c:numCache>
            </c:numRef>
          </c:val>
        </c:ser>
        <c:ser>
          <c:idx val="2"/>
          <c:order val="2"/>
          <c:invertIfNegative val="0"/>
          <c:val>
            <c:numRef>
              <c:f>(Indicadores!$F$414,Indicadores!$F$416,Indicadores!$F$418,Indicadores!$F$420,Indicadores!$F$422,Indicadores!$F$424,Indicadores!$F$426)</c:f>
              <c:numCache>
                <c:formatCode>_-* #.##0\ _€_-;\-* #.##0\ _€_-;_-* "-"??\ _€_-;_-@_-</c:formatCode>
                <c:ptCount val="7"/>
                <c:pt idx="0">
                  <c:v>2467</c:v>
                </c:pt>
              </c:numCache>
            </c:numRef>
          </c:val>
        </c:ser>
        <c:ser>
          <c:idx val="3"/>
          <c:order val="3"/>
          <c:spPr>
            <a:solidFill>
              <a:schemeClr val="accent1">
                <a:lumMod val="40000"/>
                <a:lumOff val="60000"/>
              </a:schemeClr>
            </a:solidFill>
          </c:spPr>
          <c:invertIfNegative val="0"/>
          <c:dLbls>
            <c:dLbl>
              <c:idx val="1"/>
              <c:tx>
                <c:strRef>
                  <c:f>Indicadores!$G$415</c:f>
                  <c:strCache>
                    <c:ptCount val="1"/>
                    <c:pt idx="0">
                      <c:v>Compras</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(Indicadores!$G$414,Indicadores!$G$416,Indicadores!$G$418,Indicadores!$G$420,Indicadores!$G$422,Indicadores!$G$424,Indicadores!$G$426)</c:f>
              <c:numCache>
                <c:formatCode>_-* #.##0\ _€_-;\-* #.##0\ _€_-;_-* "-"??\ _€_-;_-@_-</c:formatCode>
                <c:ptCount val="7"/>
                <c:pt idx="1">
                  <c:v>50623474</c:v>
                </c:pt>
              </c:numCache>
            </c:numRef>
          </c:val>
        </c:ser>
        <c:ser>
          <c:idx val="4"/>
          <c:order val="4"/>
          <c:invertIfNegative val="0"/>
          <c:dLbls>
            <c:dLbl>
              <c:idx val="1"/>
              <c:tx>
                <c:strRef>
                  <c:f>Indicadores!$H$415</c:f>
                  <c:strCache>
                    <c:ptCount val="1"/>
                    <c:pt idx="0">
                      <c:v>G Personal</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(Indicadores!$H$414,Indicadores!$H$416,Indicadores!$H$418,Indicadores!$H$420,Indicadores!$H$422,Indicadores!$H$424,Indicadores!$H$426)</c:f>
              <c:numCache>
                <c:formatCode>_-* #.##0\ _€_-;\-* #.##0\ _€_-;_-* "-"??\ _€_-;_-@_-</c:formatCode>
                <c:ptCount val="7"/>
                <c:pt idx="1">
                  <c:v>8598042</c:v>
                </c:pt>
              </c:numCache>
            </c:numRef>
          </c:val>
        </c:ser>
        <c:ser>
          <c:idx val="5"/>
          <c:order val="5"/>
          <c:invertIfNegative val="0"/>
          <c:dLbls>
            <c:dLbl>
              <c:idx val="1"/>
              <c:tx>
                <c:strRef>
                  <c:f>Indicadores!$I$415</c:f>
                  <c:strCache>
                    <c:ptCount val="1"/>
                    <c:pt idx="0">
                      <c:v>G Expl</c:v>
                    </c:pt>
                  </c:strCache>
                </c:strRef>
              </c:tx>
              <c:spPr/>
              <c:txPr>
                <a:bodyPr/>
                <a:lstStyle/>
                <a:p>
                  <a:pPr>
                    <a:defRPr sz="1600" b="1"/>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val>
            <c:numRef>
              <c:f>(Indicadores!$I$414,Indicadores!$I$416,Indicadores!$I$418,Indicadores!$I$420,Indicadores!$I$422,Indicadores!$I$424,Indicadores!$I$426)</c:f>
              <c:numCache>
                <c:formatCode>_-* #.##0\ _€_-;\-* #.##0\ _€_-;_-* "-"??\ _€_-;_-@_-</c:formatCode>
                <c:ptCount val="7"/>
                <c:pt idx="1">
                  <c:v>7251828</c:v>
                </c:pt>
              </c:numCache>
            </c:numRef>
          </c:val>
        </c:ser>
        <c:ser>
          <c:idx val="6"/>
          <c:order val="6"/>
          <c:invertIfNegative val="0"/>
          <c:val>
            <c:numRef>
              <c:f>(Indicadores!$J$414,Indicadores!$J$416,Indicadores!$J$418,Indicadores!$J$420,Indicadores!$J$422,Indicadores!$J$424,Indicadores!$J$426)</c:f>
              <c:numCache>
                <c:formatCode>_-* #.##0\ _€_-;\-* #.##0\ _€_-;_-* "-"??\ _€_-;_-@_-</c:formatCode>
                <c:ptCount val="7"/>
                <c:pt idx="1">
                  <c:v>1891519</c:v>
                </c:pt>
              </c:numCache>
            </c:numRef>
          </c:val>
        </c:ser>
        <c:ser>
          <c:idx val="7"/>
          <c:order val="7"/>
          <c:invertIfNegative val="0"/>
          <c:val>
            <c:numRef>
              <c:f>(Indicadores!$K$414,Indicadores!$K$416,Indicadores!$K$418,Indicadores!$K$420,Indicadores!$K$422,Indicadores!$K$424,Indicadores!$K$426)</c:f>
              <c:numCache>
                <c:formatCode>_-* #.##0\ _€_-;\-* #.##0\ _€_-;_-* "-"??\ _€_-;_-@_-</c:formatCode>
                <c:ptCount val="7"/>
                <c:pt idx="2">
                  <c:v>2637211</c:v>
                </c:pt>
              </c:numCache>
            </c:numRef>
          </c:val>
        </c:ser>
        <c:ser>
          <c:idx val="8"/>
          <c:order val="8"/>
          <c:invertIfNegative val="0"/>
          <c:val>
            <c:numRef>
              <c:f>(Indicadores!$L$414,Indicadores!$L$416,Indicadores!$L$418,Indicadores!$L$420,Indicadores!$L$422,Indicadores!$L$424,Indicadores!$L$426)</c:f>
              <c:numCache>
                <c:formatCode>_-* #.##0\ _€_-;\-* #.##0\ _€_-;_-* "-"??\ _€_-;_-@_-</c:formatCode>
                <c:ptCount val="7"/>
                <c:pt idx="2">
                  <c:v>646868</c:v>
                </c:pt>
              </c:numCache>
            </c:numRef>
          </c:val>
        </c:ser>
        <c:ser>
          <c:idx val="9"/>
          <c:order val="9"/>
          <c:invertIfNegative val="0"/>
          <c:val>
            <c:numRef>
              <c:f>(Indicadores!$M$414,Indicadores!$M$416,Indicadores!$M$418,Indicadores!$M$420,Indicadores!$M$422,Indicadores!$M$424,Indicadores!$M$426)</c:f>
              <c:numCache>
                <c:formatCode>_-* #.##0\ _€_-;\-* #.##0\ _€_-;_-* "-"??\ _€_-;_-@_-</c:formatCode>
                <c:ptCount val="7"/>
                <c:pt idx="3">
                  <c:v>680122</c:v>
                </c:pt>
              </c:numCache>
            </c:numRef>
          </c:val>
        </c:ser>
        <c:ser>
          <c:idx val="10"/>
          <c:order val="10"/>
          <c:invertIfNegative val="0"/>
          <c:val>
            <c:numRef>
              <c:f>(Indicadores!$N$414,Indicadores!$N$416,Indicadores!$N$418,Indicadores!$N$420,Indicadores!$N$422,Indicadores!$N$424,Indicadores!$N$426)</c:f>
              <c:numCache>
                <c:formatCode>_-* #.##0\ _€_-;\-* #.##0\ _€_-;_-* "-"??\ _€_-;_-@_-</c:formatCode>
                <c:ptCount val="7"/>
                <c:pt idx="4">
                  <c:v>2603957</c:v>
                </c:pt>
              </c:numCache>
            </c:numRef>
          </c:val>
        </c:ser>
        <c:ser>
          <c:idx val="11"/>
          <c:order val="11"/>
          <c:invertIfNegative val="0"/>
          <c:val>
            <c:numRef>
              <c:f>(Indicadores!$O$414,Indicadores!$O$416,Indicadores!$O$418,Indicadores!$O$420,Indicadores!$O$422,Indicadores!$O$424,Indicadores!$O$426)</c:f>
              <c:numCache>
                <c:formatCode>_-* #.##0\ _€_-;\-* #.##0\ _€_-;_-* "-"??\ _€_-;_-@_-</c:formatCode>
                <c:ptCount val="7"/>
                <c:pt idx="5">
                  <c:v>451952</c:v>
                </c:pt>
              </c:numCache>
            </c:numRef>
          </c:val>
        </c:ser>
        <c:ser>
          <c:idx val="12"/>
          <c:order val="12"/>
          <c:invertIfNegative val="0"/>
          <c:val>
            <c:numRef>
              <c:f>(Indicadores!$P$414,Indicadores!$P$416,Indicadores!$P$418,Indicadores!$P$420,Indicadores!$P$422,Indicadores!$P$424,Indicadores!$P$426)</c:f>
              <c:numCache>
                <c:formatCode>_-* #.##0\ _€_-;\-* #.##0\ _€_-;_-* "-"??\ _€_-;_-@_-</c:formatCode>
                <c:ptCount val="7"/>
                <c:pt idx="5">
                  <c:v>1694604</c:v>
                </c:pt>
              </c:numCache>
            </c:numRef>
          </c:val>
        </c:ser>
        <c:ser>
          <c:idx val="13"/>
          <c:order val="13"/>
          <c:invertIfNegative val="0"/>
          <c:val>
            <c:numRef>
              <c:f>(Indicadores!$Q$414,Indicadores!$Q$416,Indicadores!$Q$418,Indicadores!$Q$420,Indicadores!$Q$422,Indicadores!$Q$424,Indicadores!$Q$426)</c:f>
              <c:numCache>
                <c:formatCode>_-* #.##0\ _€_-;\-* #.##0\ _€_-;_-* "-"??\ _€_-;_-@_-</c:formatCode>
                <c:ptCount val="7"/>
                <c:pt idx="6">
                  <c:v>1096025</c:v>
                </c:pt>
              </c:numCache>
            </c:numRef>
          </c:val>
        </c:ser>
        <c:ser>
          <c:idx val="14"/>
          <c:order val="14"/>
          <c:invertIfNegative val="0"/>
          <c:val>
            <c:numRef>
              <c:f>(Indicadores!$R$414,Indicadores!$R$416,Indicadores!$R$418,Indicadores!$R$420,Indicadores!$R$422,Indicadores!$R$424,Indicadores!$R$426)</c:f>
              <c:numCache>
                <c:formatCode>_-* #.##0\ _€_-;\-* #.##0\ _€_-;_-* "-"??\ _€_-;_-@_-</c:formatCode>
                <c:ptCount val="7"/>
                <c:pt idx="6">
                  <c:v>598579</c:v>
                </c:pt>
              </c:numCache>
            </c:numRef>
          </c:val>
        </c:ser>
        <c:dLbls>
          <c:showLegendKey val="0"/>
          <c:showVal val="0"/>
          <c:showCatName val="0"/>
          <c:showSerName val="0"/>
          <c:showPercent val="0"/>
          <c:showBubbleSize val="0"/>
        </c:dLbls>
        <c:gapWidth val="36"/>
        <c:overlap val="100"/>
        <c:axId val="244798976"/>
        <c:axId val="244847680"/>
      </c:barChart>
      <c:catAx>
        <c:axId val="244798976"/>
        <c:scaling>
          <c:orientation val="maxMin"/>
        </c:scaling>
        <c:delete val="1"/>
        <c:axPos val="l"/>
        <c:majorTickMark val="out"/>
        <c:minorTickMark val="none"/>
        <c:tickLblPos val="nextTo"/>
        <c:crossAx val="244847680"/>
        <c:crosses val="autoZero"/>
        <c:auto val="1"/>
        <c:lblAlgn val="ctr"/>
        <c:lblOffset val="100"/>
        <c:noMultiLvlLbl val="0"/>
      </c:catAx>
      <c:valAx>
        <c:axId val="244847680"/>
        <c:scaling>
          <c:orientation val="minMax"/>
        </c:scaling>
        <c:delete val="0"/>
        <c:axPos val="t"/>
        <c:majorGridlines/>
        <c:numFmt formatCode="_-* #.##0\ _€_-;\-* #.##0\ _€_-;_-* &quot;-&quot;??\ _€_-;_-@_-" sourceLinked="1"/>
        <c:majorTickMark val="out"/>
        <c:minorTickMark val="none"/>
        <c:tickLblPos val="nextTo"/>
        <c:crossAx val="244798976"/>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Indicadores!$C$777</c:f>
          <c:strCache>
            <c:ptCount val="1"/>
            <c:pt idx="0">
              <c:v>Ratio de liquidez inmediata</c:v>
            </c:pt>
          </c:strCache>
        </c:strRef>
      </c:tx>
      <c:overlay val="0"/>
    </c:title>
    <c:autoTitleDeleted val="0"/>
    <c:plotArea>
      <c:layout/>
      <c:lineChart>
        <c:grouping val="standard"/>
        <c:varyColors val="0"/>
        <c:ser>
          <c:idx val="0"/>
          <c:order val="0"/>
          <c:tx>
            <c:strRef>
              <c:f>Indicadores!$C$778</c:f>
              <c:strCache>
                <c:ptCount val="1"/>
                <c:pt idx="0">
                  <c:v>Empresa</c:v>
                </c:pt>
              </c:strCache>
            </c:strRef>
          </c:tx>
          <c:marker>
            <c:symbol val="none"/>
          </c:marker>
          <c:cat>
            <c:strRef>
              <c:f>Indicadores!$D$777:$I$777</c:f>
              <c:strCache>
                <c:ptCount val="6"/>
                <c:pt idx="0">
                  <c:v>Año X</c:v>
                </c:pt>
                <c:pt idx="1">
                  <c:v>Año X+1</c:v>
                </c:pt>
                <c:pt idx="2">
                  <c:v>Año X+2</c:v>
                </c:pt>
                <c:pt idx="3">
                  <c:v>Año X+3</c:v>
                </c:pt>
                <c:pt idx="4">
                  <c:v>Año X+4</c:v>
                </c:pt>
                <c:pt idx="5">
                  <c:v>Tendencia</c:v>
                </c:pt>
              </c:strCache>
            </c:strRef>
          </c:cat>
          <c:val>
            <c:numRef>
              <c:f>Indicadores!$D$778:$I$778</c:f>
              <c:numCache>
                <c:formatCode>#.##00000_ ;[Red]\-#.##00000\ </c:formatCode>
                <c:ptCount val="6"/>
                <c:pt idx="0">
                  <c:v>21.568149106712109</c:v>
                </c:pt>
                <c:pt idx="1">
                  <c:v>22.310502441977718</c:v>
                </c:pt>
                <c:pt idx="2">
                  <c:v>22.475094110274817</c:v>
                </c:pt>
                <c:pt idx="3">
                  <c:v>24.345397760343285</c:v>
                </c:pt>
                <c:pt idx="4">
                  <c:v>0</c:v>
                </c:pt>
                <c:pt idx="5" formatCode="00,000">
                  <c:v>0</c:v>
                </c:pt>
              </c:numCache>
            </c:numRef>
          </c:val>
          <c:smooth val="0"/>
        </c:ser>
        <c:ser>
          <c:idx val="1"/>
          <c:order val="1"/>
          <c:tx>
            <c:strRef>
              <c:f>Indicadores!$C$779</c:f>
              <c:strCache>
                <c:ptCount val="1"/>
                <c:pt idx="0">
                  <c:v>Sector</c:v>
                </c:pt>
              </c:strCache>
            </c:strRef>
          </c:tx>
          <c:marker>
            <c:symbol val="none"/>
          </c:marker>
          <c:cat>
            <c:strRef>
              <c:f>Indicadores!$D$777:$I$777</c:f>
              <c:strCache>
                <c:ptCount val="6"/>
                <c:pt idx="0">
                  <c:v>Año X</c:v>
                </c:pt>
                <c:pt idx="1">
                  <c:v>Año X+1</c:v>
                </c:pt>
                <c:pt idx="2">
                  <c:v>Año X+2</c:v>
                </c:pt>
                <c:pt idx="3">
                  <c:v>Año X+3</c:v>
                </c:pt>
                <c:pt idx="4">
                  <c:v>Año X+4</c:v>
                </c:pt>
                <c:pt idx="5">
                  <c:v>Tendencia</c:v>
                </c:pt>
              </c:strCache>
            </c:strRef>
          </c:cat>
          <c:val>
            <c:numRef>
              <c:f>Indicadores!$D$779:$I$779</c:f>
              <c:numCache>
                <c:formatCode>#.##00000_ ;[Red]\-#.##00000\ </c:formatCode>
                <c:ptCount val="6"/>
                <c:pt idx="0">
                  <c:v>8.3684701820745389E-2</c:v>
                </c:pt>
                <c:pt idx="1">
                  <c:v>0.10218966849394118</c:v>
                </c:pt>
                <c:pt idx="2">
                  <c:v>8.0801971624251123E-2</c:v>
                </c:pt>
                <c:pt idx="3">
                  <c:v>0.11063279763389575</c:v>
                </c:pt>
                <c:pt idx="4">
                  <c:v>0.1284278241987733</c:v>
                </c:pt>
                <c:pt idx="5" formatCode="00,000">
                  <c:v>0.13052620492312444</c:v>
                </c:pt>
              </c:numCache>
            </c:numRef>
          </c:val>
          <c:smooth val="0"/>
        </c:ser>
        <c:dLbls>
          <c:showLegendKey val="0"/>
          <c:showVal val="0"/>
          <c:showCatName val="0"/>
          <c:showSerName val="0"/>
          <c:showPercent val="0"/>
          <c:showBubbleSize val="0"/>
        </c:dLbls>
        <c:marker val="1"/>
        <c:smooth val="0"/>
        <c:axId val="244800512"/>
        <c:axId val="245410048"/>
      </c:lineChart>
      <c:catAx>
        <c:axId val="244800512"/>
        <c:scaling>
          <c:orientation val="minMax"/>
        </c:scaling>
        <c:delete val="0"/>
        <c:axPos val="b"/>
        <c:majorTickMark val="none"/>
        <c:minorTickMark val="none"/>
        <c:tickLblPos val="nextTo"/>
        <c:crossAx val="245410048"/>
        <c:crosses val="autoZero"/>
        <c:auto val="1"/>
        <c:lblAlgn val="ctr"/>
        <c:lblOffset val="100"/>
        <c:noMultiLvlLbl val="0"/>
      </c:catAx>
      <c:valAx>
        <c:axId val="245410048"/>
        <c:scaling>
          <c:orientation val="minMax"/>
        </c:scaling>
        <c:delete val="0"/>
        <c:axPos val="l"/>
        <c:majorGridlines/>
        <c:numFmt formatCode="#.##00000_ ;[Red]\-#.##00000\ " sourceLinked="1"/>
        <c:majorTickMark val="none"/>
        <c:minorTickMark val="none"/>
        <c:tickLblPos val="nextTo"/>
        <c:crossAx val="244800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Indicadores!$C$899</c:f>
          <c:strCache>
            <c:ptCount val="1"/>
            <c:pt idx="0">
              <c:v>Remuneración vinculada a productividad</c:v>
            </c:pt>
          </c:strCache>
        </c:strRef>
      </c:tx>
      <c:overlay val="0"/>
    </c:title>
    <c:autoTitleDeleted val="0"/>
    <c:plotArea>
      <c:layout/>
      <c:lineChart>
        <c:grouping val="standard"/>
        <c:varyColors val="0"/>
        <c:ser>
          <c:idx val="0"/>
          <c:order val="0"/>
          <c:tx>
            <c:strRef>
              <c:f>Indicadores!$C$900</c:f>
              <c:strCache>
                <c:ptCount val="1"/>
                <c:pt idx="0">
                  <c:v>Porcentaje del sueldo remuneración variable</c:v>
                </c:pt>
              </c:strCache>
            </c:strRef>
          </c:tx>
          <c:cat>
            <c:strRef>
              <c:f>Indicadores!$D$899:$I$899</c:f>
              <c:strCache>
                <c:ptCount val="6"/>
                <c:pt idx="0">
                  <c:v>Año X</c:v>
                </c:pt>
                <c:pt idx="1">
                  <c:v>Año X+1</c:v>
                </c:pt>
                <c:pt idx="2">
                  <c:v>Año X+2</c:v>
                </c:pt>
                <c:pt idx="3">
                  <c:v>Año X+3</c:v>
                </c:pt>
                <c:pt idx="4">
                  <c:v>Año X+4</c:v>
                </c:pt>
                <c:pt idx="5">
                  <c:v>Tendencia</c:v>
                </c:pt>
              </c:strCache>
            </c:strRef>
          </c:cat>
          <c:val>
            <c:numRef>
              <c:f>Indicadores!$D$900:$I$900</c:f>
              <c:numCache>
                <c:formatCode>0%</c:formatCode>
                <c:ptCount val="6"/>
                <c:pt idx="0">
                  <c:v>0.25</c:v>
                </c:pt>
                <c:pt idx="1">
                  <c:v>0.3</c:v>
                </c:pt>
                <c:pt idx="2">
                  <c:v>0.35</c:v>
                </c:pt>
                <c:pt idx="3">
                  <c:v>0.3</c:v>
                </c:pt>
                <c:pt idx="4">
                  <c:v>0.25</c:v>
                </c:pt>
                <c:pt idx="5" formatCode="0">
                  <c:v>0.28999999999999998</c:v>
                </c:pt>
              </c:numCache>
            </c:numRef>
          </c:val>
          <c:smooth val="0"/>
        </c:ser>
        <c:ser>
          <c:idx val="1"/>
          <c:order val="1"/>
          <c:tx>
            <c:strRef>
              <c:f>Indicadores!$C$901</c:f>
              <c:strCache>
                <c:ptCount val="1"/>
                <c:pt idx="0">
                  <c:v>Porcentaje del sueldo productividad grupal</c:v>
                </c:pt>
              </c:strCache>
            </c:strRef>
          </c:tx>
          <c:cat>
            <c:strRef>
              <c:f>Indicadores!$D$899:$I$899</c:f>
              <c:strCache>
                <c:ptCount val="6"/>
                <c:pt idx="0">
                  <c:v>Año X</c:v>
                </c:pt>
                <c:pt idx="1">
                  <c:v>Año X+1</c:v>
                </c:pt>
                <c:pt idx="2">
                  <c:v>Año X+2</c:v>
                </c:pt>
                <c:pt idx="3">
                  <c:v>Año X+3</c:v>
                </c:pt>
                <c:pt idx="4">
                  <c:v>Año X+4</c:v>
                </c:pt>
                <c:pt idx="5">
                  <c:v>Tendencia</c:v>
                </c:pt>
              </c:strCache>
            </c:strRef>
          </c:cat>
          <c:val>
            <c:numRef>
              <c:f>Indicadores!$D$901:$I$901</c:f>
              <c:numCache>
                <c:formatCode>0%</c:formatCode>
                <c:ptCount val="6"/>
                <c:pt idx="0">
                  <c:v>0.2</c:v>
                </c:pt>
                <c:pt idx="1">
                  <c:v>0.25</c:v>
                </c:pt>
                <c:pt idx="2">
                  <c:v>0.27</c:v>
                </c:pt>
                <c:pt idx="3">
                  <c:v>0.25</c:v>
                </c:pt>
                <c:pt idx="4">
                  <c:v>0.27</c:v>
                </c:pt>
                <c:pt idx="5" formatCode="0">
                  <c:v>0.29000000000000004</c:v>
                </c:pt>
              </c:numCache>
            </c:numRef>
          </c:val>
          <c:smooth val="0"/>
        </c:ser>
        <c:dLbls>
          <c:showLegendKey val="0"/>
          <c:showVal val="0"/>
          <c:showCatName val="0"/>
          <c:showSerName val="0"/>
          <c:showPercent val="0"/>
          <c:showBubbleSize val="0"/>
        </c:dLbls>
        <c:marker val="1"/>
        <c:smooth val="0"/>
        <c:axId val="244801024"/>
        <c:axId val="245412928"/>
      </c:lineChart>
      <c:catAx>
        <c:axId val="244801024"/>
        <c:scaling>
          <c:orientation val="minMax"/>
        </c:scaling>
        <c:delete val="0"/>
        <c:axPos val="b"/>
        <c:majorTickMark val="out"/>
        <c:minorTickMark val="none"/>
        <c:tickLblPos val="nextTo"/>
        <c:crossAx val="245412928"/>
        <c:crosses val="autoZero"/>
        <c:auto val="1"/>
        <c:lblAlgn val="ctr"/>
        <c:lblOffset val="100"/>
        <c:noMultiLvlLbl val="0"/>
      </c:catAx>
      <c:valAx>
        <c:axId val="245412928"/>
        <c:scaling>
          <c:orientation val="minMax"/>
        </c:scaling>
        <c:delete val="0"/>
        <c:axPos val="l"/>
        <c:majorGridlines/>
        <c:numFmt formatCode="0%" sourceLinked="1"/>
        <c:majorTickMark val="out"/>
        <c:minorTickMark val="none"/>
        <c:tickLblPos val="nextTo"/>
        <c:crossAx val="244801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Cobros y pagos mensuales</a:t>
            </a:r>
          </a:p>
        </c:rich>
      </c:tx>
      <c:layout/>
      <c:overlay val="0"/>
    </c:title>
    <c:autoTitleDeleted val="0"/>
    <c:plotArea>
      <c:layout/>
      <c:barChart>
        <c:barDir val="col"/>
        <c:grouping val="clustered"/>
        <c:varyColors val="0"/>
        <c:ser>
          <c:idx val="0"/>
          <c:order val="0"/>
          <c:tx>
            <c:strRef>
              <c:f>Indicadores!$C$214</c:f>
              <c:strCache>
                <c:ptCount val="1"/>
                <c:pt idx="0">
                  <c:v>Cobros Previstos</c:v>
                </c:pt>
              </c:strCache>
            </c:strRef>
          </c:tx>
          <c:invertIfNegative val="0"/>
          <c:cat>
            <c:multiLvlStrRef>
              <c:f>Indicadores!#REF!</c:f>
            </c:multiLvlStrRef>
          </c:cat>
          <c:val>
            <c:numRef>
              <c:f>Indicadores!$D$214:$O$214</c:f>
              <c:numCache>
                <c:formatCode>#,000_ ;[Red]\-#,000\ </c:formatCode>
                <c:ptCount val="12"/>
                <c:pt idx="0">
                  <c:v>35305</c:v>
                </c:pt>
                <c:pt idx="1">
                  <c:v>18000</c:v>
                </c:pt>
                <c:pt idx="2">
                  <c:v>18000</c:v>
                </c:pt>
                <c:pt idx="3">
                  <c:v>18000</c:v>
                </c:pt>
                <c:pt idx="4">
                  <c:v>18000</c:v>
                </c:pt>
                <c:pt idx="5">
                  <c:v>18000</c:v>
                </c:pt>
                <c:pt idx="6">
                  <c:v>18000</c:v>
                </c:pt>
                <c:pt idx="7">
                  <c:v>18000</c:v>
                </c:pt>
                <c:pt idx="8">
                  <c:v>18000</c:v>
                </c:pt>
                <c:pt idx="9">
                  <c:v>18000</c:v>
                </c:pt>
                <c:pt idx="10">
                  <c:v>18000</c:v>
                </c:pt>
                <c:pt idx="11">
                  <c:v>18000</c:v>
                </c:pt>
              </c:numCache>
            </c:numRef>
          </c:val>
        </c:ser>
        <c:ser>
          <c:idx val="1"/>
          <c:order val="1"/>
          <c:tx>
            <c:strRef>
              <c:f>Indicadores!$C$219</c:f>
              <c:strCache>
                <c:ptCount val="1"/>
                <c:pt idx="0">
                  <c:v>Pagos Previstos</c:v>
                </c:pt>
              </c:strCache>
            </c:strRef>
          </c:tx>
          <c:invertIfNegative val="0"/>
          <c:cat>
            <c:multiLvlStrRef>
              <c:f>Indicadores!#REF!</c:f>
            </c:multiLvlStrRef>
          </c:cat>
          <c:val>
            <c:numRef>
              <c:f>Indicadores!$D$219:$O$219</c:f>
              <c:numCache>
                <c:formatCode>#,000_ ;[Red]\-#,000\ </c:formatCode>
                <c:ptCount val="12"/>
                <c:pt idx="0">
                  <c:v>26407.560512113618</c:v>
                </c:pt>
                <c:pt idx="1">
                  <c:v>16247.560512113614</c:v>
                </c:pt>
                <c:pt idx="2">
                  <c:v>16247.560512113616</c:v>
                </c:pt>
                <c:pt idx="3">
                  <c:v>16247.560512113616</c:v>
                </c:pt>
                <c:pt idx="4">
                  <c:v>16247.560512113616</c:v>
                </c:pt>
                <c:pt idx="5">
                  <c:v>16247.560512113616</c:v>
                </c:pt>
                <c:pt idx="6">
                  <c:v>16247.560512113616</c:v>
                </c:pt>
                <c:pt idx="7">
                  <c:v>16247.560512113614</c:v>
                </c:pt>
                <c:pt idx="8">
                  <c:v>16247.560512113616</c:v>
                </c:pt>
                <c:pt idx="9">
                  <c:v>16247.560512113616</c:v>
                </c:pt>
                <c:pt idx="10">
                  <c:v>16247.560512113614</c:v>
                </c:pt>
                <c:pt idx="11">
                  <c:v>22944.466924494027</c:v>
                </c:pt>
              </c:numCache>
            </c:numRef>
          </c:val>
        </c:ser>
        <c:dLbls>
          <c:showLegendKey val="0"/>
          <c:showVal val="0"/>
          <c:showCatName val="0"/>
          <c:showSerName val="0"/>
          <c:showPercent val="0"/>
          <c:showBubbleSize val="0"/>
        </c:dLbls>
        <c:gapWidth val="150"/>
        <c:axId val="245785088"/>
        <c:axId val="246014528"/>
      </c:barChart>
      <c:catAx>
        <c:axId val="245785088"/>
        <c:scaling>
          <c:orientation val="minMax"/>
        </c:scaling>
        <c:delete val="0"/>
        <c:axPos val="b"/>
        <c:majorTickMark val="out"/>
        <c:minorTickMark val="none"/>
        <c:tickLblPos val="nextTo"/>
        <c:crossAx val="246014528"/>
        <c:crosses val="autoZero"/>
        <c:auto val="1"/>
        <c:lblAlgn val="ctr"/>
        <c:lblOffset val="100"/>
        <c:noMultiLvlLbl val="0"/>
      </c:catAx>
      <c:valAx>
        <c:axId val="246014528"/>
        <c:scaling>
          <c:orientation val="minMax"/>
        </c:scaling>
        <c:delete val="0"/>
        <c:axPos val="l"/>
        <c:majorGridlines/>
        <c:numFmt formatCode="#,000_ ;[Red]\-#,000\ " sourceLinked="1"/>
        <c:majorTickMark val="out"/>
        <c:minorTickMark val="none"/>
        <c:tickLblPos val="nextTo"/>
        <c:crossAx val="2457850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Resultados </a:t>
            </a:r>
          </a:p>
        </c:rich>
      </c:tx>
      <c:overlay val="0"/>
    </c:title>
    <c:autoTitleDeleted val="0"/>
    <c:plotArea>
      <c:layout/>
      <c:lineChart>
        <c:grouping val="standard"/>
        <c:varyColors val="0"/>
        <c:ser>
          <c:idx val="1"/>
          <c:order val="0"/>
          <c:tx>
            <c:strRef>
              <c:f>Indicadores!$C$364</c:f>
              <c:strCache>
                <c:ptCount val="1"/>
                <c:pt idx="0">
                  <c:v>A) RESULTADO DE EXPLOTACIÓN</c:v>
                </c:pt>
              </c:strCache>
            </c:strRef>
          </c:tx>
          <c:marker>
            <c:symbol val="none"/>
          </c:marker>
          <c:cat>
            <c:strRef>
              <c:f>Indicadores!$D$352:$I$352</c:f>
              <c:strCache>
                <c:ptCount val="6"/>
                <c:pt idx="0">
                  <c:v>Año X</c:v>
                </c:pt>
                <c:pt idx="1">
                  <c:v>Año X+1</c:v>
                </c:pt>
                <c:pt idx="2">
                  <c:v>Año X+2</c:v>
                </c:pt>
                <c:pt idx="3">
                  <c:v>Año X+3</c:v>
                </c:pt>
                <c:pt idx="4">
                  <c:v>Año X+4</c:v>
                </c:pt>
                <c:pt idx="5">
                  <c:v>Tendencia</c:v>
                </c:pt>
              </c:strCache>
            </c:strRef>
          </c:cat>
          <c:val>
            <c:numRef>
              <c:f>Indicadores!$D$364:$I$364</c:f>
              <c:numCache>
                <c:formatCode>#.##0_ ;[Red]\-#.##0\ </c:formatCode>
                <c:ptCount val="6"/>
                <c:pt idx="0">
                  <c:v>15600</c:v>
                </c:pt>
                <c:pt idx="1">
                  <c:v>19356</c:v>
                </c:pt>
                <c:pt idx="2">
                  <c:v>22382.111999999994</c:v>
                </c:pt>
                <c:pt idx="3">
                  <c:v>29333.900640000007</c:v>
                </c:pt>
                <c:pt idx="4">
                  <c:v>43325.349192000009</c:v>
                </c:pt>
                <c:pt idx="5">
                  <c:v>45628.052073600018</c:v>
                </c:pt>
              </c:numCache>
            </c:numRef>
          </c:val>
          <c:smooth val="0"/>
        </c:ser>
        <c:ser>
          <c:idx val="2"/>
          <c:order val="1"/>
          <c:tx>
            <c:strRef>
              <c:f>Indicadores!$C$370</c:f>
              <c:strCache>
                <c:ptCount val="1"/>
                <c:pt idx="0">
                  <c:v>B) RESULTADO FINANCIERO</c:v>
                </c:pt>
              </c:strCache>
            </c:strRef>
          </c:tx>
          <c:marker>
            <c:symbol val="none"/>
          </c:marker>
          <c:cat>
            <c:strRef>
              <c:f>Indicadores!$D$352:$I$352</c:f>
              <c:strCache>
                <c:ptCount val="6"/>
                <c:pt idx="0">
                  <c:v>Año X</c:v>
                </c:pt>
                <c:pt idx="1">
                  <c:v>Año X+1</c:v>
                </c:pt>
                <c:pt idx="2">
                  <c:v>Año X+2</c:v>
                </c:pt>
                <c:pt idx="3">
                  <c:v>Año X+3</c:v>
                </c:pt>
                <c:pt idx="4">
                  <c:v>Año X+4</c:v>
                </c:pt>
                <c:pt idx="5">
                  <c:v>Tendencia</c:v>
                </c:pt>
              </c:strCache>
            </c:strRef>
          </c:cat>
          <c:val>
            <c:numRef>
              <c:f>Indicadores!$D$370:$I$370</c:f>
              <c:numCache>
                <c:formatCode>#.##0_ ;[Red]\-#.##0\ </c:formatCode>
                <c:ptCount val="6"/>
                <c:pt idx="0">
                  <c:v>-292.78534313049511</c:v>
                </c:pt>
                <c:pt idx="1">
                  <c:v>-234.93520679033745</c:v>
                </c:pt>
                <c:pt idx="2">
                  <c:v>-173.51700062465579</c:v>
                </c:pt>
                <c:pt idx="3">
                  <c:v>-108.31065389403217</c:v>
                </c:pt>
                <c:pt idx="4">
                  <c:v>-39.082522377385843</c:v>
                </c:pt>
                <c:pt idx="5">
                  <c:v>20.482912957375845</c:v>
                </c:pt>
              </c:numCache>
            </c:numRef>
          </c:val>
          <c:smooth val="0"/>
        </c:ser>
        <c:ser>
          <c:idx val="3"/>
          <c:order val="2"/>
          <c:tx>
            <c:strRef>
              <c:f>Indicadores!$C$371</c:f>
              <c:strCache>
                <c:ptCount val="1"/>
                <c:pt idx="0">
                  <c:v>C) RESULTADO ANTES DE IMPUESTOS</c:v>
                </c:pt>
              </c:strCache>
            </c:strRef>
          </c:tx>
          <c:marker>
            <c:symbol val="none"/>
          </c:marker>
          <c:cat>
            <c:strRef>
              <c:f>Indicadores!$D$352:$I$352</c:f>
              <c:strCache>
                <c:ptCount val="6"/>
                <c:pt idx="0">
                  <c:v>Año X</c:v>
                </c:pt>
                <c:pt idx="1">
                  <c:v>Año X+1</c:v>
                </c:pt>
                <c:pt idx="2">
                  <c:v>Año X+2</c:v>
                </c:pt>
                <c:pt idx="3">
                  <c:v>Año X+3</c:v>
                </c:pt>
                <c:pt idx="4">
                  <c:v>Año X+4</c:v>
                </c:pt>
                <c:pt idx="5">
                  <c:v>Tendencia</c:v>
                </c:pt>
              </c:strCache>
            </c:strRef>
          </c:cat>
          <c:val>
            <c:numRef>
              <c:f>Indicadores!$D$371:$I$371</c:f>
              <c:numCache>
                <c:formatCode>#.##0_ ;[Red]\-#.##0\ </c:formatCode>
                <c:ptCount val="6"/>
                <c:pt idx="0">
                  <c:v>15307.214656869504</c:v>
                </c:pt>
                <c:pt idx="1">
                  <c:v>19121.064793209662</c:v>
                </c:pt>
                <c:pt idx="2">
                  <c:v>22208.594999375338</c:v>
                </c:pt>
                <c:pt idx="3">
                  <c:v>29225.589986105973</c:v>
                </c:pt>
                <c:pt idx="4">
                  <c:v>43286.266669622622</c:v>
                </c:pt>
                <c:pt idx="5">
                  <c:v>45648.534986557381</c:v>
                </c:pt>
              </c:numCache>
            </c:numRef>
          </c:val>
          <c:smooth val="0"/>
        </c:ser>
        <c:ser>
          <c:idx val="4"/>
          <c:order val="3"/>
          <c:tx>
            <c:strRef>
              <c:f>Indicadores!$C$373</c:f>
              <c:strCache>
                <c:ptCount val="1"/>
                <c:pt idx="0">
                  <c:v>D) RESULTADO DEL EJERCICIO</c:v>
                </c:pt>
              </c:strCache>
            </c:strRef>
          </c:tx>
          <c:marker>
            <c:symbol val="none"/>
          </c:marker>
          <c:cat>
            <c:strRef>
              <c:f>Indicadores!$D$352:$I$352</c:f>
              <c:strCache>
                <c:ptCount val="6"/>
                <c:pt idx="0">
                  <c:v>Año X</c:v>
                </c:pt>
                <c:pt idx="1">
                  <c:v>Año X+1</c:v>
                </c:pt>
                <c:pt idx="2">
                  <c:v>Año X+2</c:v>
                </c:pt>
                <c:pt idx="3">
                  <c:v>Año X+3</c:v>
                </c:pt>
                <c:pt idx="4">
                  <c:v>Año X+4</c:v>
                </c:pt>
                <c:pt idx="5">
                  <c:v>Tendencia</c:v>
                </c:pt>
              </c:strCache>
            </c:strRef>
          </c:cat>
          <c:val>
            <c:numRef>
              <c:f>Indicadores!$D$373:$I$373</c:f>
              <c:numCache>
                <c:formatCode>#.##0_ ;[Red]\-#.##0\ </c:formatCode>
                <c:ptCount val="6"/>
                <c:pt idx="0">
                  <c:v>11480.410992652129</c:v>
                </c:pt>
                <c:pt idx="1">
                  <c:v>14340.798594907246</c:v>
                </c:pt>
                <c:pt idx="2">
                  <c:v>16656.446249531502</c:v>
                </c:pt>
                <c:pt idx="3">
                  <c:v>21919.19248957948</c:v>
                </c:pt>
                <c:pt idx="4">
                  <c:v>32464.700002216967</c:v>
                </c:pt>
                <c:pt idx="5">
                  <c:v>34236.401239918036</c:v>
                </c:pt>
              </c:numCache>
            </c:numRef>
          </c:val>
          <c:smooth val="0"/>
        </c:ser>
        <c:dLbls>
          <c:showLegendKey val="0"/>
          <c:showVal val="0"/>
          <c:showCatName val="0"/>
          <c:showSerName val="0"/>
          <c:showPercent val="0"/>
          <c:showBubbleSize val="0"/>
        </c:dLbls>
        <c:marker val="1"/>
        <c:smooth val="0"/>
        <c:axId val="34704896"/>
        <c:axId val="242027328"/>
      </c:lineChart>
      <c:catAx>
        <c:axId val="34704896"/>
        <c:scaling>
          <c:orientation val="minMax"/>
        </c:scaling>
        <c:delete val="0"/>
        <c:axPos val="b"/>
        <c:majorTickMark val="out"/>
        <c:minorTickMark val="none"/>
        <c:tickLblPos val="nextTo"/>
        <c:crossAx val="242027328"/>
        <c:crosses val="autoZero"/>
        <c:auto val="1"/>
        <c:lblAlgn val="ctr"/>
        <c:lblOffset val="100"/>
        <c:noMultiLvlLbl val="0"/>
      </c:catAx>
      <c:valAx>
        <c:axId val="242027328"/>
        <c:scaling>
          <c:orientation val="minMax"/>
        </c:scaling>
        <c:delete val="0"/>
        <c:axPos val="l"/>
        <c:majorGridlines/>
        <c:numFmt formatCode="#.##0_ ;[Red]\-#.##0\ " sourceLinked="1"/>
        <c:majorTickMark val="out"/>
        <c:minorTickMark val="none"/>
        <c:tickLblPos val="nextTo"/>
        <c:crossAx val="347048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ES"/>
              <a:t>Tesorería</a:t>
            </a:r>
          </a:p>
        </c:rich>
      </c:tx>
      <c:layout/>
      <c:overlay val="0"/>
    </c:title>
    <c:autoTitleDeleted val="0"/>
    <c:plotArea>
      <c:layout/>
      <c:barChart>
        <c:barDir val="col"/>
        <c:grouping val="clustered"/>
        <c:varyColors val="0"/>
        <c:ser>
          <c:idx val="0"/>
          <c:order val="0"/>
          <c:tx>
            <c:strRef>
              <c:f>Indicadores!$C$235</c:f>
              <c:strCache>
                <c:ptCount val="1"/>
                <c:pt idx="0">
                  <c:v>Diferencia mensual</c:v>
                </c:pt>
              </c:strCache>
            </c:strRef>
          </c:tx>
          <c:invertIfNegative val="0"/>
          <c:cat>
            <c:multiLvlStrRef>
              <c:f>Indicadores!#REF!</c:f>
            </c:multiLvlStrRef>
          </c:cat>
          <c:val>
            <c:numRef>
              <c:f>Indicadores!$D$235:$O$235</c:f>
              <c:numCache>
                <c:formatCode>#,000_ ;[Red]\-#,000\ </c:formatCode>
                <c:ptCount val="12"/>
                <c:pt idx="0">
                  <c:v>8897.4394878863823</c:v>
                </c:pt>
                <c:pt idx="1">
                  <c:v>1752.4394878863859</c:v>
                </c:pt>
                <c:pt idx="2">
                  <c:v>1752.4394878863841</c:v>
                </c:pt>
                <c:pt idx="3">
                  <c:v>1752.4394878863841</c:v>
                </c:pt>
                <c:pt idx="4">
                  <c:v>1752.4394878863841</c:v>
                </c:pt>
                <c:pt idx="5">
                  <c:v>1752.4394878863841</c:v>
                </c:pt>
                <c:pt idx="6">
                  <c:v>1752.4394878863841</c:v>
                </c:pt>
                <c:pt idx="7">
                  <c:v>1752.4394878863859</c:v>
                </c:pt>
                <c:pt idx="8">
                  <c:v>1752.4394878863841</c:v>
                </c:pt>
                <c:pt idx="9">
                  <c:v>1752.4394878863841</c:v>
                </c:pt>
                <c:pt idx="10">
                  <c:v>1752.4394878863859</c:v>
                </c:pt>
                <c:pt idx="11">
                  <c:v>-4944.4669244940269</c:v>
                </c:pt>
              </c:numCache>
            </c:numRef>
          </c:val>
        </c:ser>
        <c:dLbls>
          <c:showLegendKey val="0"/>
          <c:showVal val="0"/>
          <c:showCatName val="0"/>
          <c:showSerName val="0"/>
          <c:showPercent val="0"/>
          <c:showBubbleSize val="0"/>
        </c:dLbls>
        <c:gapWidth val="150"/>
        <c:axId val="245785600"/>
        <c:axId val="246016256"/>
      </c:barChart>
      <c:lineChart>
        <c:grouping val="standard"/>
        <c:varyColors val="0"/>
        <c:ser>
          <c:idx val="1"/>
          <c:order val="1"/>
          <c:tx>
            <c:strRef>
              <c:f>Indicadores!$C$236</c:f>
              <c:strCache>
                <c:ptCount val="1"/>
                <c:pt idx="0">
                  <c:v>Saldo</c:v>
                </c:pt>
              </c:strCache>
            </c:strRef>
          </c:tx>
          <c:cat>
            <c:multiLvlStrRef>
              <c:f>Indicadores!#REF!</c:f>
            </c:multiLvlStrRef>
          </c:cat>
          <c:val>
            <c:numRef>
              <c:f>Indicadores!$D$236:$O$236</c:f>
              <c:numCache>
                <c:formatCode>#,000_ ;[Red]\-#,000\ </c:formatCode>
                <c:ptCount val="12"/>
                <c:pt idx="0">
                  <c:v>8897.4394878863823</c:v>
                </c:pt>
                <c:pt idx="1">
                  <c:v>10649.878975772768</c:v>
                </c:pt>
                <c:pt idx="2">
                  <c:v>12402.318463659152</c:v>
                </c:pt>
                <c:pt idx="3">
                  <c:v>14154.757951545536</c:v>
                </c:pt>
                <c:pt idx="4">
                  <c:v>15907.19743943192</c:v>
                </c:pt>
                <c:pt idx="5">
                  <c:v>17659.636927318305</c:v>
                </c:pt>
                <c:pt idx="6">
                  <c:v>19412.07641520469</c:v>
                </c:pt>
                <c:pt idx="7">
                  <c:v>21164.515903091076</c:v>
                </c:pt>
                <c:pt idx="8">
                  <c:v>22916.955390977462</c:v>
                </c:pt>
                <c:pt idx="9">
                  <c:v>24669.394878863844</c:v>
                </c:pt>
                <c:pt idx="10">
                  <c:v>26421.83436675023</c:v>
                </c:pt>
                <c:pt idx="11">
                  <c:v>21477.367442256204</c:v>
                </c:pt>
              </c:numCache>
            </c:numRef>
          </c:val>
          <c:smooth val="0"/>
        </c:ser>
        <c:dLbls>
          <c:showLegendKey val="0"/>
          <c:showVal val="0"/>
          <c:showCatName val="0"/>
          <c:showSerName val="0"/>
          <c:showPercent val="0"/>
          <c:showBubbleSize val="0"/>
        </c:dLbls>
        <c:marker val="1"/>
        <c:smooth val="0"/>
        <c:axId val="245785600"/>
        <c:axId val="246016256"/>
      </c:lineChart>
      <c:catAx>
        <c:axId val="245785600"/>
        <c:scaling>
          <c:orientation val="minMax"/>
        </c:scaling>
        <c:delete val="0"/>
        <c:axPos val="b"/>
        <c:majorTickMark val="out"/>
        <c:minorTickMark val="none"/>
        <c:tickLblPos val="nextTo"/>
        <c:crossAx val="246016256"/>
        <c:crosses val="autoZero"/>
        <c:auto val="1"/>
        <c:lblAlgn val="ctr"/>
        <c:lblOffset val="100"/>
        <c:noMultiLvlLbl val="0"/>
      </c:catAx>
      <c:valAx>
        <c:axId val="246016256"/>
        <c:scaling>
          <c:orientation val="minMax"/>
        </c:scaling>
        <c:delete val="0"/>
        <c:axPos val="l"/>
        <c:majorGridlines/>
        <c:numFmt formatCode="#,000_ ;[Red]\-#,000\ " sourceLinked="1"/>
        <c:majorTickMark val="out"/>
        <c:minorTickMark val="none"/>
        <c:tickLblPos val="nextTo"/>
        <c:crossAx val="245785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Umbral de rentabilidad</a:t>
            </a:r>
          </a:p>
        </c:rich>
      </c:tx>
      <c:layout/>
      <c:overlay val="1"/>
      <c:spPr>
        <a:solidFill>
          <a:srgbClr val="FFFFFF"/>
        </a:solidFill>
      </c:spPr>
    </c:title>
    <c:autoTitleDeleted val="0"/>
    <c:plotArea>
      <c:layout/>
      <c:scatterChart>
        <c:scatterStyle val="lineMarker"/>
        <c:varyColors val="0"/>
        <c:ser>
          <c:idx val="0"/>
          <c:order val="0"/>
          <c:tx>
            <c:strRef>
              <c:f>Indicadores!$I$183</c:f>
              <c:strCache>
                <c:ptCount val="1"/>
                <c:pt idx="0">
                  <c:v>Ingresos</c:v>
                </c:pt>
              </c:strCache>
            </c:strRef>
          </c:tx>
          <c:spPr>
            <a:ln w="38100">
              <a:solidFill>
                <a:srgbClr val="000080"/>
              </a:solidFill>
              <a:prstDash val="solid"/>
            </a:ln>
          </c:spPr>
          <c:marker>
            <c:symbol val="none"/>
          </c:marker>
          <c:trendline>
            <c:trendlineType val="linear"/>
            <c:dispRSqr val="0"/>
            <c:dispEq val="0"/>
          </c:trendline>
          <c:xVal>
            <c:numRef>
              <c:f>Indicadores!$H$184:$H$197</c:f>
              <c:numCache>
                <c:formatCode>General</c:formatCode>
                <c:ptCount val="14"/>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numCache>
            </c:numRef>
          </c:xVal>
          <c:yVal>
            <c:numRef>
              <c:f>Indicadores!$I$184:$I$197</c:f>
              <c:numCache>
                <c:formatCode>General</c:formatCode>
                <c:ptCount val="14"/>
                <c:pt idx="0">
                  <c:v>3000</c:v>
                </c:pt>
                <c:pt idx="1">
                  <c:v>6000</c:v>
                </c:pt>
                <c:pt idx="2">
                  <c:v>9000</c:v>
                </c:pt>
                <c:pt idx="3">
                  <c:v>12000</c:v>
                </c:pt>
                <c:pt idx="4">
                  <c:v>15000</c:v>
                </c:pt>
                <c:pt idx="5">
                  <c:v>18000</c:v>
                </c:pt>
                <c:pt idx="6">
                  <c:v>21000</c:v>
                </c:pt>
                <c:pt idx="7">
                  <c:v>24000</c:v>
                </c:pt>
                <c:pt idx="8">
                  <c:v>27000</c:v>
                </c:pt>
                <c:pt idx="9">
                  <c:v>30000</c:v>
                </c:pt>
                <c:pt idx="10">
                  <c:v>33000</c:v>
                </c:pt>
                <c:pt idx="11">
                  <c:v>36000</c:v>
                </c:pt>
                <c:pt idx="12">
                  <c:v>39000</c:v>
                </c:pt>
                <c:pt idx="13">
                  <c:v>42000</c:v>
                </c:pt>
              </c:numCache>
            </c:numRef>
          </c:yVal>
          <c:smooth val="0"/>
        </c:ser>
        <c:ser>
          <c:idx val="3"/>
          <c:order val="1"/>
          <c:tx>
            <c:strRef>
              <c:f>Indicadores!$L$183</c:f>
              <c:strCache>
                <c:ptCount val="1"/>
                <c:pt idx="0">
                  <c:v>Coste total</c:v>
                </c:pt>
              </c:strCache>
            </c:strRef>
          </c:tx>
          <c:marker>
            <c:symbol val="none"/>
          </c:marker>
          <c:trendline>
            <c:trendlineType val="linear"/>
            <c:dispRSqr val="0"/>
            <c:dispEq val="0"/>
          </c:trendline>
          <c:xVal>
            <c:numRef>
              <c:f>Indicadores!$H$184:$H$197</c:f>
              <c:numCache>
                <c:formatCode>General</c:formatCode>
                <c:ptCount val="14"/>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numCache>
            </c:numRef>
          </c:xVal>
          <c:yVal>
            <c:numRef>
              <c:f>Indicadores!$L$184:$L$197</c:f>
              <c:numCache>
                <c:formatCode>General</c:formatCode>
                <c:ptCount val="14"/>
                <c:pt idx="0">
                  <c:v>8827.5605121136141</c:v>
                </c:pt>
                <c:pt idx="1">
                  <c:v>10327.560512113614</c:v>
                </c:pt>
                <c:pt idx="2">
                  <c:v>11827.560512113614</c:v>
                </c:pt>
                <c:pt idx="3">
                  <c:v>13327.560512113614</c:v>
                </c:pt>
                <c:pt idx="4">
                  <c:v>14827.560512113614</c:v>
                </c:pt>
                <c:pt idx="5">
                  <c:v>16327.560512113614</c:v>
                </c:pt>
                <c:pt idx="6">
                  <c:v>17827.560512113614</c:v>
                </c:pt>
                <c:pt idx="7">
                  <c:v>19327.560512113614</c:v>
                </c:pt>
                <c:pt idx="8">
                  <c:v>20827.560512113614</c:v>
                </c:pt>
                <c:pt idx="9">
                  <c:v>22327.560512113614</c:v>
                </c:pt>
                <c:pt idx="10">
                  <c:v>23827.560512113614</c:v>
                </c:pt>
                <c:pt idx="11">
                  <c:v>25327.560512113614</c:v>
                </c:pt>
                <c:pt idx="12">
                  <c:v>26827.560512113614</c:v>
                </c:pt>
                <c:pt idx="13">
                  <c:v>28327.560512113614</c:v>
                </c:pt>
              </c:numCache>
            </c:numRef>
          </c:yVal>
          <c:smooth val="0"/>
        </c:ser>
        <c:ser>
          <c:idx val="2"/>
          <c:order val="2"/>
          <c:tx>
            <c:strRef>
              <c:f>Indicadores!$K$183</c:f>
              <c:strCache>
                <c:ptCount val="1"/>
                <c:pt idx="0">
                  <c:v>Coste variable</c:v>
                </c:pt>
              </c:strCache>
            </c:strRef>
          </c:tx>
          <c:marker>
            <c:symbol val="none"/>
          </c:marker>
          <c:trendline>
            <c:trendlineType val="linear"/>
            <c:dispRSqr val="0"/>
            <c:dispEq val="0"/>
          </c:trendline>
          <c:xVal>
            <c:numRef>
              <c:f>Indicadores!$H$184:$H$197</c:f>
              <c:numCache>
                <c:formatCode>General</c:formatCode>
                <c:ptCount val="14"/>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numCache>
            </c:numRef>
          </c:xVal>
          <c:yVal>
            <c:numRef>
              <c:f>Indicadores!$K$184:$K$197</c:f>
              <c:numCache>
                <c:formatCode>General</c:formatCode>
                <c:ptCount val="14"/>
                <c:pt idx="0">
                  <c:v>1500</c:v>
                </c:pt>
                <c:pt idx="1">
                  <c:v>3000</c:v>
                </c:pt>
                <c:pt idx="2">
                  <c:v>4500</c:v>
                </c:pt>
                <c:pt idx="3">
                  <c:v>6000</c:v>
                </c:pt>
                <c:pt idx="4">
                  <c:v>7500</c:v>
                </c:pt>
                <c:pt idx="5">
                  <c:v>9000</c:v>
                </c:pt>
                <c:pt idx="6">
                  <c:v>10500</c:v>
                </c:pt>
                <c:pt idx="7">
                  <c:v>12000</c:v>
                </c:pt>
                <c:pt idx="8">
                  <c:v>13500</c:v>
                </c:pt>
                <c:pt idx="9">
                  <c:v>15000</c:v>
                </c:pt>
                <c:pt idx="10">
                  <c:v>16500</c:v>
                </c:pt>
                <c:pt idx="11">
                  <c:v>18000</c:v>
                </c:pt>
                <c:pt idx="12">
                  <c:v>19500</c:v>
                </c:pt>
                <c:pt idx="13">
                  <c:v>21000</c:v>
                </c:pt>
              </c:numCache>
            </c:numRef>
          </c:yVal>
          <c:smooth val="0"/>
        </c:ser>
        <c:ser>
          <c:idx val="4"/>
          <c:order val="3"/>
          <c:tx>
            <c:strRef>
              <c:f>Indicadores!$M$183</c:f>
              <c:strCache>
                <c:ptCount val="1"/>
                <c:pt idx="0">
                  <c:v>Beneficio</c:v>
                </c:pt>
              </c:strCache>
            </c:strRef>
          </c:tx>
          <c:marker>
            <c:symbol val="none"/>
          </c:marker>
          <c:trendline>
            <c:trendlineType val="linear"/>
            <c:dispRSqr val="0"/>
            <c:dispEq val="0"/>
          </c:trendline>
          <c:xVal>
            <c:numRef>
              <c:f>Indicadores!$H$184:$H$197</c:f>
              <c:numCache>
                <c:formatCode>General</c:formatCode>
                <c:ptCount val="14"/>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numCache>
            </c:numRef>
          </c:xVal>
          <c:yVal>
            <c:numRef>
              <c:f>Indicadores!$M$184:$M$197</c:f>
              <c:numCache>
                <c:formatCode>General</c:formatCode>
                <c:ptCount val="14"/>
                <c:pt idx="0">
                  <c:v>-5827.5605121136141</c:v>
                </c:pt>
                <c:pt idx="1">
                  <c:v>-4327.5605121136141</c:v>
                </c:pt>
                <c:pt idx="2">
                  <c:v>-2827.5605121136141</c:v>
                </c:pt>
                <c:pt idx="3">
                  <c:v>-1327.5605121136141</c:v>
                </c:pt>
                <c:pt idx="4">
                  <c:v>172.4394878863859</c:v>
                </c:pt>
                <c:pt idx="5">
                  <c:v>1672.4394878863859</c:v>
                </c:pt>
                <c:pt idx="6">
                  <c:v>3172.4394878863859</c:v>
                </c:pt>
                <c:pt idx="7">
                  <c:v>4672.4394878863859</c:v>
                </c:pt>
                <c:pt idx="8">
                  <c:v>6172.4394878863859</c:v>
                </c:pt>
                <c:pt idx="9">
                  <c:v>7672.4394878863859</c:v>
                </c:pt>
                <c:pt idx="10">
                  <c:v>9172.4394878863859</c:v>
                </c:pt>
                <c:pt idx="11">
                  <c:v>10672.439487886386</c:v>
                </c:pt>
                <c:pt idx="12">
                  <c:v>12172.439487886386</c:v>
                </c:pt>
                <c:pt idx="13">
                  <c:v>13672.439487886386</c:v>
                </c:pt>
              </c:numCache>
            </c:numRef>
          </c:yVal>
          <c:smooth val="0"/>
        </c:ser>
        <c:ser>
          <c:idx val="1"/>
          <c:order val="4"/>
          <c:tx>
            <c:strRef>
              <c:f>Indicadores!$J$183</c:f>
              <c:strCache>
                <c:ptCount val="1"/>
                <c:pt idx="0">
                  <c:v>Coste fijo</c:v>
                </c:pt>
              </c:strCache>
            </c:strRef>
          </c:tx>
          <c:marker>
            <c:symbol val="none"/>
          </c:marker>
          <c:trendline>
            <c:trendlineType val="linear"/>
            <c:dispRSqr val="0"/>
            <c:dispEq val="0"/>
          </c:trendline>
          <c:xVal>
            <c:numRef>
              <c:f>Indicadores!$H$184:$H$197</c:f>
              <c:numCache>
                <c:formatCode>General</c:formatCode>
                <c:ptCount val="14"/>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numCache>
            </c:numRef>
          </c:xVal>
          <c:yVal>
            <c:numRef>
              <c:f>Indicadores!$J$184:$J$197</c:f>
              <c:numCache>
                <c:formatCode>General</c:formatCode>
                <c:ptCount val="14"/>
                <c:pt idx="0">
                  <c:v>7327.560512113615</c:v>
                </c:pt>
                <c:pt idx="1">
                  <c:v>7327.560512113615</c:v>
                </c:pt>
                <c:pt idx="2">
                  <c:v>7327.560512113615</c:v>
                </c:pt>
                <c:pt idx="3">
                  <c:v>7327.560512113615</c:v>
                </c:pt>
                <c:pt idx="4">
                  <c:v>7327.560512113615</c:v>
                </c:pt>
                <c:pt idx="5">
                  <c:v>7327.560512113615</c:v>
                </c:pt>
                <c:pt idx="6">
                  <c:v>7327.560512113615</c:v>
                </c:pt>
                <c:pt idx="7">
                  <c:v>7327.560512113615</c:v>
                </c:pt>
                <c:pt idx="8">
                  <c:v>7327.560512113615</c:v>
                </c:pt>
                <c:pt idx="9">
                  <c:v>7327.560512113615</c:v>
                </c:pt>
                <c:pt idx="10">
                  <c:v>7327.560512113615</c:v>
                </c:pt>
                <c:pt idx="11">
                  <c:v>7327.560512113615</c:v>
                </c:pt>
                <c:pt idx="12">
                  <c:v>7327.560512113615</c:v>
                </c:pt>
                <c:pt idx="13">
                  <c:v>7327.560512113615</c:v>
                </c:pt>
              </c:numCache>
            </c:numRef>
          </c:yVal>
          <c:smooth val="0"/>
        </c:ser>
        <c:dLbls>
          <c:showLegendKey val="0"/>
          <c:showVal val="0"/>
          <c:showCatName val="0"/>
          <c:showSerName val="0"/>
          <c:showPercent val="0"/>
          <c:showBubbleSize val="0"/>
        </c:dLbls>
        <c:axId val="246017984"/>
        <c:axId val="246018560"/>
      </c:scatterChart>
      <c:valAx>
        <c:axId val="246017984"/>
        <c:scaling>
          <c:orientation val="minMax"/>
        </c:scaling>
        <c:delete val="0"/>
        <c:axPos val="b"/>
        <c:majorGridlines>
          <c:spPr>
            <a:ln>
              <a:noFill/>
            </a:ln>
          </c:spPr>
        </c:majorGridlines>
        <c:minorGridlines>
          <c:spPr>
            <a:ln>
              <a:noFill/>
            </a:ln>
          </c:spPr>
        </c:min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46018560"/>
        <c:crosses val="autoZero"/>
        <c:crossBetween val="midCat"/>
        <c:majorUnit val="25"/>
        <c:minorUnit val="20"/>
      </c:valAx>
      <c:valAx>
        <c:axId val="246018560"/>
        <c:scaling>
          <c:orientation val="minMax"/>
        </c:scaling>
        <c:delete val="0"/>
        <c:axPos val="l"/>
        <c:majorGridlines>
          <c:spPr>
            <a:ln>
              <a:solidFill>
                <a:schemeClr val="bg1">
                  <a:lumMod val="85000"/>
                  <a:alpha val="26000"/>
                </a:schemeClr>
              </a:solidFill>
            </a:ln>
          </c:spPr>
        </c:majorGridlines>
        <c:minorGridlines>
          <c:spPr>
            <a:ln>
              <a:noFill/>
            </a:ln>
          </c:spPr>
        </c:min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46017984"/>
        <c:crosses val="autoZero"/>
        <c:crossBetween val="midCat"/>
      </c:valAx>
      <c:spPr>
        <a:noFill/>
        <a:ln w="25400">
          <a:noFill/>
        </a:ln>
      </c:spPr>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ayout/>
      <c:overlay val="0"/>
    </c:legend>
    <c:plotVisOnly val="1"/>
    <c:dispBlanksAs val="gap"/>
    <c:showDLblsOverMax val="0"/>
  </c:chart>
  <c:spPr>
    <a:solidFill>
      <a:srgbClr val="FFFFFF"/>
    </a:solidFill>
    <a:ln w="9525">
      <a:solidFill>
        <a:schemeClr val="tx1"/>
      </a:solidFill>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Rotación</a:t>
            </a:r>
          </a:p>
        </c:rich>
      </c:tx>
      <c:overlay val="0"/>
    </c:title>
    <c:autoTitleDeleted val="0"/>
    <c:plotArea>
      <c:layout/>
      <c:lineChart>
        <c:grouping val="standard"/>
        <c:varyColors val="0"/>
        <c:ser>
          <c:idx val="0"/>
          <c:order val="0"/>
          <c:tx>
            <c:strRef>
              <c:f>Indicadores!$C$500</c:f>
              <c:strCache>
                <c:ptCount val="1"/>
                <c:pt idx="0">
                  <c:v>Empresa</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Indicadores!$D$500:$I$500</c:f>
              <c:numCache>
                <c:formatCode>0.00%</c:formatCode>
                <c:ptCount val="6"/>
                <c:pt idx="0">
                  <c:v>8.4317797481291912</c:v>
                </c:pt>
                <c:pt idx="1">
                  <c:v>8.3117683624674754</c:v>
                </c:pt>
                <c:pt idx="2">
                  <c:v>8.5112820900481321</c:v>
                </c:pt>
                <c:pt idx="3">
                  <c:v>8.257274827548498</c:v>
                </c:pt>
                <c:pt idx="4">
                  <c:v>7.4334380186190252</c:v>
                </c:pt>
                <c:pt idx="5">
                  <c:v>7.5737555111806714</c:v>
                </c:pt>
              </c:numCache>
            </c:numRef>
          </c:val>
          <c:smooth val="0"/>
        </c:ser>
        <c:ser>
          <c:idx val="1"/>
          <c:order val="1"/>
          <c:tx>
            <c:strRef>
              <c:f>Indicadores!$C$501</c:f>
              <c:strCache>
                <c:ptCount val="1"/>
                <c:pt idx="0">
                  <c:v>Sector</c:v>
                </c:pt>
              </c:strCache>
            </c:strRef>
          </c:tx>
          <c:marker>
            <c:symbol val="none"/>
          </c:marker>
          <c:val>
            <c:numRef>
              <c:f>Indicadores!$D$501:$I$501</c:f>
              <c:numCache>
                <c:formatCode>0.00%</c:formatCode>
                <c:ptCount val="6"/>
                <c:pt idx="0">
                  <c:v>1.6934039221608592</c:v>
                </c:pt>
                <c:pt idx="1">
                  <c:v>1.6240588891984116</c:v>
                </c:pt>
                <c:pt idx="2">
                  <c:v>1.5981664234264994</c:v>
                </c:pt>
                <c:pt idx="3">
                  <c:v>1.5331226919740331</c:v>
                </c:pt>
                <c:pt idx="4">
                  <c:v>1.4275527004023509</c:v>
                </c:pt>
                <c:pt idx="5">
                  <c:v>1.3884693332100122</c:v>
                </c:pt>
              </c:numCache>
            </c:numRef>
          </c:val>
          <c:smooth val="0"/>
        </c:ser>
        <c:dLbls>
          <c:showLegendKey val="0"/>
          <c:showVal val="0"/>
          <c:showCatName val="0"/>
          <c:showSerName val="0"/>
          <c:showPercent val="0"/>
          <c:showBubbleSize val="0"/>
        </c:dLbls>
        <c:marker val="1"/>
        <c:smooth val="0"/>
        <c:axId val="241990656"/>
        <c:axId val="242029632"/>
      </c:lineChart>
      <c:catAx>
        <c:axId val="241990656"/>
        <c:scaling>
          <c:orientation val="minMax"/>
        </c:scaling>
        <c:delete val="0"/>
        <c:axPos val="b"/>
        <c:majorTickMark val="none"/>
        <c:minorTickMark val="none"/>
        <c:tickLblPos val="nextTo"/>
        <c:crossAx val="242029632"/>
        <c:crosses val="autoZero"/>
        <c:auto val="1"/>
        <c:lblAlgn val="ctr"/>
        <c:lblOffset val="100"/>
        <c:noMultiLvlLbl val="0"/>
      </c:catAx>
      <c:valAx>
        <c:axId val="242029632"/>
        <c:scaling>
          <c:orientation val="minMax"/>
        </c:scaling>
        <c:delete val="0"/>
        <c:axPos val="l"/>
        <c:majorGridlines/>
        <c:numFmt formatCode="0.00%" sourceLinked="1"/>
        <c:majorTickMark val="none"/>
        <c:minorTickMark val="none"/>
        <c:tickLblPos val="nextTo"/>
        <c:crossAx val="241990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Margen</a:t>
            </a:r>
          </a:p>
        </c:rich>
      </c:tx>
      <c:overlay val="0"/>
    </c:title>
    <c:autoTitleDeleted val="0"/>
    <c:plotArea>
      <c:layout/>
      <c:lineChart>
        <c:grouping val="standard"/>
        <c:varyColors val="0"/>
        <c:ser>
          <c:idx val="0"/>
          <c:order val="0"/>
          <c:tx>
            <c:strRef>
              <c:f>Indicadores!$C$495</c:f>
              <c:strCache>
                <c:ptCount val="1"/>
                <c:pt idx="0">
                  <c:v>Empresa</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Indicadores!$D$495:$I$495</c:f>
              <c:numCache>
                <c:formatCode>0.00%</c:formatCode>
                <c:ptCount val="6"/>
                <c:pt idx="0">
                  <c:v>7.2222222222222215E-2</c:v>
                </c:pt>
                <c:pt idx="1">
                  <c:v>8.7001078748651567E-2</c:v>
                </c:pt>
                <c:pt idx="2">
                  <c:v>9.5812194996660993E-2</c:v>
                </c:pt>
                <c:pt idx="3">
                  <c:v>0.11735612579927979</c:v>
                </c:pt>
                <c:pt idx="4">
                  <c:v>0.15757428092479359</c:v>
                </c:pt>
                <c:pt idx="5">
                  <c:v>0.16631092987505292</c:v>
                </c:pt>
              </c:numCache>
            </c:numRef>
          </c:val>
          <c:smooth val="0"/>
        </c:ser>
        <c:ser>
          <c:idx val="1"/>
          <c:order val="1"/>
          <c:tx>
            <c:strRef>
              <c:f>Indicadores!$C$496</c:f>
              <c:strCache>
                <c:ptCount val="1"/>
                <c:pt idx="0">
                  <c:v>Sector</c:v>
                </c:pt>
              </c:strCache>
            </c:strRef>
          </c:tx>
          <c:marker>
            <c:symbol val="none"/>
          </c:marker>
          <c:val>
            <c:numRef>
              <c:f>Indicadores!$D$496:$I$496</c:f>
              <c:numCache>
                <c:formatCode>0.00%</c:formatCode>
                <c:ptCount val="6"/>
                <c:pt idx="0">
                  <c:v>7.2441096480726552E-2</c:v>
                </c:pt>
                <c:pt idx="1">
                  <c:v>6.9787121802957347E-2</c:v>
                </c:pt>
                <c:pt idx="2">
                  <c:v>7.1195550782424386E-2</c:v>
                </c:pt>
                <c:pt idx="3">
                  <c:v>6.3779667987317809E-2</c:v>
                </c:pt>
                <c:pt idx="4">
                  <c:v>6.5542832660054895E-2</c:v>
                </c:pt>
                <c:pt idx="5">
                  <c:v>6.260805950560136E-2</c:v>
                </c:pt>
              </c:numCache>
            </c:numRef>
          </c:val>
          <c:smooth val="0"/>
        </c:ser>
        <c:dLbls>
          <c:showLegendKey val="0"/>
          <c:showVal val="0"/>
          <c:showCatName val="0"/>
          <c:showSerName val="0"/>
          <c:showPercent val="0"/>
          <c:showBubbleSize val="0"/>
        </c:dLbls>
        <c:marker val="1"/>
        <c:smooth val="0"/>
        <c:axId val="241991168"/>
        <c:axId val="242031936"/>
      </c:lineChart>
      <c:catAx>
        <c:axId val="241991168"/>
        <c:scaling>
          <c:orientation val="minMax"/>
        </c:scaling>
        <c:delete val="0"/>
        <c:axPos val="b"/>
        <c:majorTickMark val="none"/>
        <c:minorTickMark val="none"/>
        <c:tickLblPos val="nextTo"/>
        <c:crossAx val="242031936"/>
        <c:crosses val="autoZero"/>
        <c:auto val="1"/>
        <c:lblAlgn val="ctr"/>
        <c:lblOffset val="100"/>
        <c:noMultiLvlLbl val="0"/>
      </c:catAx>
      <c:valAx>
        <c:axId val="242031936"/>
        <c:scaling>
          <c:orientation val="minMax"/>
        </c:scaling>
        <c:delete val="0"/>
        <c:axPos val="l"/>
        <c:majorGridlines/>
        <c:title>
          <c:overlay val="0"/>
        </c:title>
        <c:numFmt formatCode="0.00%" sourceLinked="1"/>
        <c:majorTickMark val="none"/>
        <c:minorTickMark val="none"/>
        <c:tickLblPos val="nextTo"/>
        <c:crossAx val="2419911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Rentabilidad Económica</a:t>
            </a:r>
          </a:p>
        </c:rich>
      </c:tx>
      <c:overlay val="0"/>
    </c:title>
    <c:autoTitleDeleted val="0"/>
    <c:plotArea>
      <c:layout/>
      <c:lineChart>
        <c:grouping val="standard"/>
        <c:varyColors val="0"/>
        <c:ser>
          <c:idx val="0"/>
          <c:order val="0"/>
          <c:tx>
            <c:strRef>
              <c:f>Indicadores!$C$490</c:f>
              <c:strCache>
                <c:ptCount val="1"/>
                <c:pt idx="0">
                  <c:v>Empresa</c:v>
                </c:pt>
              </c:strCache>
            </c:strRef>
          </c:tx>
          <c:marker>
            <c:symbol val="none"/>
          </c:marker>
          <c:cat>
            <c:strRef>
              <c:f>Indicadores!$D$489:$I$489</c:f>
              <c:strCache>
                <c:ptCount val="6"/>
                <c:pt idx="0">
                  <c:v>Año X</c:v>
                </c:pt>
                <c:pt idx="1">
                  <c:v>Año X+1</c:v>
                </c:pt>
                <c:pt idx="2">
                  <c:v>Año X+2</c:v>
                </c:pt>
                <c:pt idx="3">
                  <c:v>Año X+3</c:v>
                </c:pt>
                <c:pt idx="4">
                  <c:v>Año X+4</c:v>
                </c:pt>
                <c:pt idx="5">
                  <c:v>Tendencia</c:v>
                </c:pt>
              </c:strCache>
            </c:strRef>
          </c:cat>
          <c:val>
            <c:numRef>
              <c:f>Indicadores!$D$490:$I$490</c:f>
              <c:numCache>
                <c:formatCode>0.00%</c:formatCode>
                <c:ptCount val="6"/>
                <c:pt idx="0">
                  <c:v>0.60896187069821928</c:v>
                </c:pt>
                <c:pt idx="1">
                  <c:v>0.72313281384358352</c:v>
                </c:pt>
                <c:pt idx="2">
                  <c:v>0.81548461928327998</c:v>
                </c:pt>
                <c:pt idx="3">
                  <c:v>0.969041783421008</c:v>
                </c:pt>
                <c:pt idx="4">
                  <c:v>1.1713186505829154</c:v>
                </c:pt>
                <c:pt idx="5">
                  <c:v>1.2687747063698462</c:v>
                </c:pt>
              </c:numCache>
            </c:numRef>
          </c:val>
          <c:smooth val="0"/>
        </c:ser>
        <c:ser>
          <c:idx val="1"/>
          <c:order val="1"/>
          <c:tx>
            <c:strRef>
              <c:f>Indicadores!$C$491</c:f>
              <c:strCache>
                <c:ptCount val="1"/>
                <c:pt idx="0">
                  <c:v>Sector</c:v>
                </c:pt>
              </c:strCache>
            </c:strRef>
          </c:tx>
          <c:marker>
            <c:symbol val="none"/>
          </c:marker>
          <c:val>
            <c:numRef>
              <c:f>Indicadores!$D$491:$I$491</c:f>
              <c:numCache>
                <c:formatCode>0.00%</c:formatCode>
                <c:ptCount val="6"/>
                <c:pt idx="0">
                  <c:v>0.12267203690609557</c:v>
                </c:pt>
                <c:pt idx="1">
                  <c:v>0.11333839551566516</c:v>
                </c:pt>
                <c:pt idx="2">
                  <c:v>0.1137823387578269</c:v>
                </c:pt>
                <c:pt idx="3">
                  <c:v>9.7782056277926743E-2</c:v>
                </c:pt>
                <c:pt idx="4">
                  <c:v>9.3565847755880768E-2</c:v>
                </c:pt>
                <c:pt idx="5">
                  <c:v>8.6097519781228635E-2</c:v>
                </c:pt>
              </c:numCache>
            </c:numRef>
          </c:val>
          <c:smooth val="0"/>
        </c:ser>
        <c:dLbls>
          <c:showLegendKey val="0"/>
          <c:showVal val="0"/>
          <c:showCatName val="0"/>
          <c:showSerName val="0"/>
          <c:showPercent val="0"/>
          <c:showBubbleSize val="0"/>
        </c:dLbls>
        <c:marker val="1"/>
        <c:smooth val="0"/>
        <c:axId val="242257920"/>
        <c:axId val="242190016"/>
      </c:lineChart>
      <c:catAx>
        <c:axId val="242257920"/>
        <c:scaling>
          <c:orientation val="minMax"/>
        </c:scaling>
        <c:delete val="0"/>
        <c:axPos val="b"/>
        <c:majorTickMark val="none"/>
        <c:minorTickMark val="none"/>
        <c:tickLblPos val="nextTo"/>
        <c:crossAx val="242190016"/>
        <c:crosses val="autoZero"/>
        <c:auto val="1"/>
        <c:lblAlgn val="ctr"/>
        <c:lblOffset val="100"/>
        <c:noMultiLvlLbl val="0"/>
      </c:catAx>
      <c:valAx>
        <c:axId val="242190016"/>
        <c:scaling>
          <c:orientation val="minMax"/>
        </c:scaling>
        <c:delete val="0"/>
        <c:axPos val="l"/>
        <c:majorGridlines/>
        <c:numFmt formatCode="0.00%" sourceLinked="1"/>
        <c:majorTickMark val="none"/>
        <c:minorTickMark val="none"/>
        <c:tickLblPos val="nextTo"/>
        <c:crossAx val="242257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Indicadores!$C$315</c:f>
              <c:strCache>
                <c:ptCount val="1"/>
                <c:pt idx="0">
                  <c:v>II Existencias</c:v>
                </c:pt>
              </c:strCache>
            </c:strRef>
          </c:tx>
          <c:invertIfNegative val="0"/>
          <c:cat>
            <c:multiLvlStrRef>
              <c:f>Indicadores!#REF!</c:f>
            </c:multiLvlStrRef>
          </c:cat>
          <c:val>
            <c:numRef>
              <c:f>Indicadores!$D$315:$I$315</c:f>
              <c:numCache>
                <c:formatCode>#.##0_ ;[Red]\-#.##0\ </c:formatCode>
                <c:ptCount val="6"/>
                <c:pt idx="0">
                  <c:v>0</c:v>
                </c:pt>
                <c:pt idx="1">
                  <c:v>0</c:v>
                </c:pt>
                <c:pt idx="2">
                  <c:v>0</c:v>
                </c:pt>
                <c:pt idx="3">
                  <c:v>0</c:v>
                </c:pt>
                <c:pt idx="4">
                  <c:v>0</c:v>
                </c:pt>
                <c:pt idx="5">
                  <c:v>0</c:v>
                </c:pt>
              </c:numCache>
            </c:numRef>
          </c:val>
        </c:ser>
        <c:ser>
          <c:idx val="1"/>
          <c:order val="1"/>
          <c:tx>
            <c:strRef>
              <c:f>Indicadores!$C$316</c:f>
              <c:strCache>
                <c:ptCount val="1"/>
                <c:pt idx="0">
                  <c:v>III Deudores comerciales y otras cuentas a cobrar</c:v>
                </c:pt>
              </c:strCache>
            </c:strRef>
          </c:tx>
          <c:invertIfNegative val="0"/>
          <c:cat>
            <c:multiLvlStrRef>
              <c:f>Indicadores!#REF!</c:f>
            </c:multiLvlStrRef>
          </c:cat>
          <c:val>
            <c:numRef>
              <c:f>Indicadores!$D$316:$I$316</c:f>
              <c:numCache>
                <c:formatCode>#.##0_ ;[Red]\-#.##0\ </c:formatCode>
                <c:ptCount val="6"/>
                <c:pt idx="0">
                  <c:v>0</c:v>
                </c:pt>
                <c:pt idx="1">
                  <c:v>0</c:v>
                </c:pt>
                <c:pt idx="2">
                  <c:v>0</c:v>
                </c:pt>
                <c:pt idx="3">
                  <c:v>0</c:v>
                </c:pt>
                <c:pt idx="4">
                  <c:v>0</c:v>
                </c:pt>
                <c:pt idx="5">
                  <c:v>0</c:v>
                </c:pt>
              </c:numCache>
            </c:numRef>
          </c:val>
        </c:ser>
        <c:ser>
          <c:idx val="2"/>
          <c:order val="2"/>
          <c:tx>
            <c:strRef>
              <c:f>Indicadores!$C$318</c:f>
              <c:strCache>
                <c:ptCount val="1"/>
                <c:pt idx="0">
                  <c:v>V Inversiones financieras corto plazo</c:v>
                </c:pt>
              </c:strCache>
            </c:strRef>
          </c:tx>
          <c:invertIfNegative val="0"/>
          <c:cat>
            <c:multiLvlStrRef>
              <c:f>Indicadores!#REF!</c:f>
            </c:multiLvlStrRef>
          </c:cat>
          <c:val>
            <c:numRef>
              <c:f>Indicadores!$D$318:$H$318</c:f>
              <c:numCache>
                <c:formatCode>#.##0_ ;[Red]\-#.##0\ </c:formatCode>
                <c:ptCount val="5"/>
                <c:pt idx="0">
                  <c:v>0</c:v>
                </c:pt>
                <c:pt idx="1">
                  <c:v>0</c:v>
                </c:pt>
                <c:pt idx="2">
                  <c:v>0</c:v>
                </c:pt>
                <c:pt idx="3">
                  <c:v>0</c:v>
                </c:pt>
                <c:pt idx="4">
                  <c:v>0</c:v>
                </c:pt>
              </c:numCache>
            </c:numRef>
          </c:val>
        </c:ser>
        <c:ser>
          <c:idx val="3"/>
          <c:order val="3"/>
          <c:tx>
            <c:strRef>
              <c:f>Indicadores!$C$320</c:f>
              <c:strCache>
                <c:ptCount val="1"/>
                <c:pt idx="0">
                  <c:v>VII Efectivo y otros activos líquidos equivalentes</c:v>
                </c:pt>
              </c:strCache>
            </c:strRef>
          </c:tx>
          <c:invertIfNegative val="0"/>
          <c:cat>
            <c:multiLvlStrRef>
              <c:f>Indicadores!#REF!</c:f>
            </c:multiLvlStrRef>
          </c:cat>
          <c:val>
            <c:numRef>
              <c:f>Indicadores!$D$320:$I$320</c:f>
              <c:numCache>
                <c:formatCode>#.##0_ ;[Red]\-#.##0\ </c:formatCode>
                <c:ptCount val="6"/>
                <c:pt idx="0">
                  <c:v>21477.367442256204</c:v>
                </c:pt>
                <c:pt idx="1">
                  <c:v>23586.867205374503</c:v>
                </c:pt>
                <c:pt idx="2">
                  <c:v>25226.393801603976</c:v>
                </c:pt>
                <c:pt idx="3">
                  <c:v>29011.037990170604</c:v>
                </c:pt>
                <c:pt idx="4">
                  <c:v>36538.525001662725</c:v>
                </c:pt>
                <c:pt idx="5">
                  <c:v>37831.984059296345</c:v>
                </c:pt>
              </c:numCache>
            </c:numRef>
          </c:val>
        </c:ser>
        <c:ser>
          <c:idx val="4"/>
          <c:order val="4"/>
          <c:tx>
            <c:strRef>
              <c:f>Indicadores!$C$318</c:f>
              <c:strCache>
                <c:ptCount val="1"/>
                <c:pt idx="0">
                  <c:v>V Inversiones financieras corto plazo</c:v>
                </c:pt>
              </c:strCache>
            </c:strRef>
          </c:tx>
          <c:invertIfNegative val="0"/>
          <c:cat>
            <c:multiLvlStrRef>
              <c:f>Indicadores!#REF!</c:f>
            </c:multiLvlStrRef>
          </c:cat>
          <c:val>
            <c:numRef>
              <c:f>Indicadores!$D$318:$I$318</c:f>
              <c:numCache>
                <c:formatCode>#.##0_ ;[Red]\-#.##0\ </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242258432"/>
        <c:axId val="242192896"/>
      </c:barChart>
      <c:catAx>
        <c:axId val="242258432"/>
        <c:scaling>
          <c:orientation val="minMax"/>
        </c:scaling>
        <c:delete val="0"/>
        <c:axPos val="b"/>
        <c:majorTickMark val="out"/>
        <c:minorTickMark val="none"/>
        <c:tickLblPos val="nextTo"/>
        <c:crossAx val="242192896"/>
        <c:crosses val="autoZero"/>
        <c:auto val="1"/>
        <c:lblAlgn val="ctr"/>
        <c:lblOffset val="100"/>
        <c:noMultiLvlLbl val="0"/>
      </c:catAx>
      <c:valAx>
        <c:axId val="242192896"/>
        <c:scaling>
          <c:orientation val="minMax"/>
        </c:scaling>
        <c:delete val="0"/>
        <c:axPos val="l"/>
        <c:majorGridlines/>
        <c:numFmt formatCode="#.##0_ ;[Red]\-#.##0\ " sourceLinked="1"/>
        <c:majorTickMark val="out"/>
        <c:minorTickMark val="none"/>
        <c:tickLblPos val="nextTo"/>
        <c:crossAx val="2422584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Indicadores!$C$313</c:f>
              <c:strCache>
                <c:ptCount val="1"/>
                <c:pt idx="0">
                  <c:v>B) ACTIVO CORRIENTE</c:v>
                </c:pt>
              </c:strCache>
            </c:strRef>
          </c:tx>
          <c:invertIfNegative val="0"/>
          <c:cat>
            <c:multiLvlStrRef>
              <c:f>Indicadores!#REF!</c:f>
            </c:multiLvlStrRef>
          </c:cat>
          <c:val>
            <c:numRef>
              <c:f>Indicadores!$D$313:$I$313</c:f>
              <c:numCache>
                <c:formatCode>#.##0_ ;[Red]\-#.##0\ </c:formatCode>
                <c:ptCount val="6"/>
                <c:pt idx="0">
                  <c:v>21477.367442256204</c:v>
                </c:pt>
                <c:pt idx="1">
                  <c:v>23586.867205374503</c:v>
                </c:pt>
                <c:pt idx="2">
                  <c:v>25226.393801603976</c:v>
                </c:pt>
                <c:pt idx="3">
                  <c:v>29011.037990170604</c:v>
                </c:pt>
                <c:pt idx="4">
                  <c:v>36538.525001662725</c:v>
                </c:pt>
                <c:pt idx="5">
                  <c:v>37831.984059296345</c:v>
                </c:pt>
              </c:numCache>
            </c:numRef>
          </c:val>
        </c:ser>
        <c:ser>
          <c:idx val="1"/>
          <c:order val="1"/>
          <c:tx>
            <c:strRef>
              <c:f>Indicadores!$C$342</c:f>
              <c:strCache>
                <c:ptCount val="1"/>
                <c:pt idx="0">
                  <c:v>C) PASIVO CORRIENTE</c:v>
                </c:pt>
              </c:strCache>
            </c:strRef>
          </c:tx>
          <c:invertIfNegative val="0"/>
          <c:cat>
            <c:multiLvlStrRef>
              <c:f>Indicadores!#REF!</c:f>
            </c:multiLvlStrRef>
          </c:cat>
          <c:val>
            <c:numRef>
              <c:f>Indicadores!$D$342:$I$342</c:f>
              <c:numCache>
                <c:formatCode>#.##0_ ;[Red]\-#.##0\ </c:formatCode>
                <c:ptCount val="6"/>
                <c:pt idx="0">
                  <c:v>995.7909385730436</c:v>
                </c:pt>
                <c:pt idx="1">
                  <c:v>1057.2091447387252</c:v>
                </c:pt>
                <c:pt idx="2">
                  <c:v>1122.4154914693488</c:v>
                </c:pt>
                <c:pt idx="3">
                  <c:v>1191.6436229859951</c:v>
                </c:pt>
                <c:pt idx="4">
                  <c:v>0</c:v>
                </c:pt>
                <c:pt idx="5">
                  <c:v>316.26761988377734</c:v>
                </c:pt>
              </c:numCache>
            </c:numRef>
          </c:val>
        </c:ser>
        <c:dLbls>
          <c:showLegendKey val="0"/>
          <c:showVal val="0"/>
          <c:showCatName val="0"/>
          <c:showSerName val="0"/>
          <c:showPercent val="0"/>
          <c:showBubbleSize val="0"/>
        </c:dLbls>
        <c:gapWidth val="150"/>
        <c:axId val="242259456"/>
        <c:axId val="242195200"/>
      </c:barChart>
      <c:catAx>
        <c:axId val="242259456"/>
        <c:scaling>
          <c:orientation val="minMax"/>
        </c:scaling>
        <c:delete val="0"/>
        <c:axPos val="b"/>
        <c:majorTickMark val="out"/>
        <c:minorTickMark val="none"/>
        <c:tickLblPos val="nextTo"/>
        <c:crossAx val="242195200"/>
        <c:crosses val="autoZero"/>
        <c:auto val="1"/>
        <c:lblAlgn val="ctr"/>
        <c:lblOffset val="100"/>
        <c:noMultiLvlLbl val="0"/>
      </c:catAx>
      <c:valAx>
        <c:axId val="242195200"/>
        <c:scaling>
          <c:orientation val="minMax"/>
        </c:scaling>
        <c:delete val="0"/>
        <c:axPos val="l"/>
        <c:majorGridlines/>
        <c:numFmt formatCode="#.##0_ ;[Red]\-#.##0\ " sourceLinked="1"/>
        <c:majorTickMark val="out"/>
        <c:minorTickMark val="none"/>
        <c:tickLblPos val="nextTo"/>
        <c:crossAx val="242259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2"/>
          <c:order val="0"/>
          <c:tx>
            <c:strRef>
              <c:f>Indicadores!$C$553</c:f>
              <c:strCache>
                <c:ptCount val="1"/>
                <c:pt idx="0">
                  <c:v>Fondo de maniobra</c:v>
                </c:pt>
              </c:strCache>
            </c:strRef>
          </c:tx>
          <c:invertIfNegative val="0"/>
          <c:cat>
            <c:strRef>
              <c:f>Indicadores!$D$553:$I$553</c:f>
              <c:strCache>
                <c:ptCount val="6"/>
                <c:pt idx="0">
                  <c:v>Año X</c:v>
                </c:pt>
                <c:pt idx="1">
                  <c:v>Año X+1</c:v>
                </c:pt>
                <c:pt idx="2">
                  <c:v>Año X+2</c:v>
                </c:pt>
                <c:pt idx="3">
                  <c:v>Año X+3</c:v>
                </c:pt>
                <c:pt idx="4">
                  <c:v>Año X+4</c:v>
                </c:pt>
                <c:pt idx="5">
                  <c:v>Tendencia</c:v>
                </c:pt>
              </c:strCache>
            </c:strRef>
          </c:cat>
          <c:val>
            <c:numRef>
              <c:f>Indicadores!$D$554:$I$554</c:f>
              <c:numCache>
                <c:formatCode>#.##0_ ;[Red]\-#.##0\ </c:formatCode>
                <c:ptCount val="6"/>
                <c:pt idx="0">
                  <c:v>20481.576503683158</c:v>
                </c:pt>
                <c:pt idx="1">
                  <c:v>22529.658060635778</c:v>
                </c:pt>
                <c:pt idx="2">
                  <c:v>24103.978310134626</c:v>
                </c:pt>
                <c:pt idx="3">
                  <c:v>27819.39436718461</c:v>
                </c:pt>
                <c:pt idx="4">
                  <c:v>36538.525001662725</c:v>
                </c:pt>
                <c:pt idx="5">
                  <c:v>37515.716439412572</c:v>
                </c:pt>
              </c:numCache>
            </c:numRef>
          </c:val>
        </c:ser>
        <c:dLbls>
          <c:showLegendKey val="0"/>
          <c:showVal val="0"/>
          <c:showCatName val="0"/>
          <c:showSerName val="0"/>
          <c:showPercent val="0"/>
          <c:showBubbleSize val="0"/>
        </c:dLbls>
        <c:gapWidth val="150"/>
        <c:axId val="242259968"/>
        <c:axId val="242483776"/>
      </c:barChart>
      <c:catAx>
        <c:axId val="242259968"/>
        <c:scaling>
          <c:orientation val="minMax"/>
        </c:scaling>
        <c:delete val="0"/>
        <c:axPos val="b"/>
        <c:majorTickMark val="out"/>
        <c:minorTickMark val="none"/>
        <c:tickLblPos val="nextTo"/>
        <c:crossAx val="242483776"/>
        <c:crosses val="autoZero"/>
        <c:auto val="1"/>
        <c:lblAlgn val="ctr"/>
        <c:lblOffset val="100"/>
        <c:noMultiLvlLbl val="0"/>
      </c:catAx>
      <c:valAx>
        <c:axId val="242483776"/>
        <c:scaling>
          <c:orientation val="minMax"/>
        </c:scaling>
        <c:delete val="0"/>
        <c:axPos val="l"/>
        <c:majorGridlines/>
        <c:numFmt formatCode="#.##0_ ;[Red]\-#.##0\ " sourceLinked="1"/>
        <c:majorTickMark val="out"/>
        <c:minorTickMark val="none"/>
        <c:tickLblPos val="nextTo"/>
        <c:crossAx val="2422599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4.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editAs="oneCell">
    <xdr:from>
      <xdr:col>12</xdr:col>
      <xdr:colOff>99488</xdr:colOff>
      <xdr:row>1</xdr:row>
      <xdr:rowOff>69272</xdr:rowOff>
    </xdr:from>
    <xdr:to>
      <xdr:col>13</xdr:col>
      <xdr:colOff>95478</xdr:colOff>
      <xdr:row>3</xdr:row>
      <xdr:rowOff>207818</xdr:rowOff>
    </xdr:to>
    <xdr:pic>
      <xdr:nvPicPr>
        <xdr:cNvPr id="1843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338988" y="286986"/>
          <a:ext cx="1343097" cy="682832"/>
        </a:xfrm>
        <a:prstGeom prst="rect">
          <a:avLst/>
        </a:prstGeom>
        <a:noFill/>
        <a:ln w="1">
          <a:solidFill>
            <a:schemeClr val="tx1"/>
          </a:solidFill>
          <a:miter lim="800000"/>
          <a:headEnd/>
          <a:tailEnd type="none" w="med" len="med"/>
        </a:ln>
        <a:effectLst/>
      </xdr:spPr>
    </xdr:pic>
    <xdr:clientData/>
  </xdr:twoCellAnchor>
  <xdr:twoCellAnchor editAs="oneCell">
    <xdr:from>
      <xdr:col>13</xdr:col>
      <xdr:colOff>218109</xdr:colOff>
      <xdr:row>1</xdr:row>
      <xdr:rowOff>69271</xdr:rowOff>
    </xdr:from>
    <xdr:to>
      <xdr:col>16</xdr:col>
      <xdr:colOff>154006</xdr:colOff>
      <xdr:row>3</xdr:row>
      <xdr:rowOff>205220</xdr:rowOff>
    </xdr:to>
    <xdr:pic>
      <xdr:nvPicPr>
        <xdr:cNvPr id="18437"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2804716" y="286985"/>
          <a:ext cx="2221897" cy="680235"/>
        </a:xfrm>
        <a:prstGeom prst="rect">
          <a:avLst/>
        </a:prstGeom>
        <a:noFill/>
        <a:ln w="1">
          <a:solidFill>
            <a:schemeClr val="tx1"/>
          </a:solidFill>
          <a:miter lim="800000"/>
          <a:headEnd/>
          <a:tailEnd type="none" w="med" len="med"/>
        </a:ln>
        <a:effectLst/>
      </xdr:spPr>
    </xdr:pic>
    <xdr:clientData/>
  </xdr:twoCellAnchor>
  <xdr:twoCellAnchor editAs="oneCell">
    <xdr:from>
      <xdr:col>8</xdr:col>
      <xdr:colOff>20409</xdr:colOff>
      <xdr:row>6</xdr:row>
      <xdr:rowOff>231320</xdr:rowOff>
    </xdr:from>
    <xdr:to>
      <xdr:col>9</xdr:col>
      <xdr:colOff>280230</xdr:colOff>
      <xdr:row>10</xdr:row>
      <xdr:rowOff>156403</xdr:rowOff>
    </xdr:to>
    <xdr:pic>
      <xdr:nvPicPr>
        <xdr:cNvPr id="4" name="3 Imagen"/>
        <xdr:cNvPicPr>
          <a:picLocks noChangeAspect="1"/>
        </xdr:cNvPicPr>
      </xdr:nvPicPr>
      <xdr:blipFill>
        <a:blip xmlns:r="http://schemas.openxmlformats.org/officeDocument/2006/relationships" r:embed="rId3"/>
        <a:stretch>
          <a:fillRect/>
        </a:stretch>
      </xdr:blipFill>
      <xdr:spPr>
        <a:xfrm>
          <a:off x="6225266" y="1605641"/>
          <a:ext cx="600000" cy="619048"/>
        </a:xfrm>
        <a:prstGeom prst="rect">
          <a:avLst/>
        </a:prstGeom>
      </xdr:spPr>
    </xdr:pic>
    <xdr:clientData/>
  </xdr:twoCellAnchor>
  <xdr:twoCellAnchor>
    <xdr:from>
      <xdr:col>9</xdr:col>
      <xdr:colOff>666749</xdr:colOff>
      <xdr:row>6</xdr:row>
      <xdr:rowOff>163285</xdr:rowOff>
    </xdr:from>
    <xdr:to>
      <xdr:col>14</xdr:col>
      <xdr:colOff>421821</xdr:colOff>
      <xdr:row>10</xdr:row>
      <xdr:rowOff>0</xdr:rowOff>
    </xdr:to>
    <xdr:sp macro="" textlink="">
      <xdr:nvSpPr>
        <xdr:cNvPr id="7" name="AutoShape 65"/>
        <xdr:cNvSpPr>
          <a:spLocks noChangeArrowheads="1"/>
        </xdr:cNvSpPr>
      </xdr:nvSpPr>
      <xdr:spPr bwMode="auto">
        <a:xfrm>
          <a:off x="7211785" y="1537606"/>
          <a:ext cx="2775857" cy="530680"/>
        </a:xfrm>
        <a:prstGeom prst="wedgeRectCallout">
          <a:avLst>
            <a:gd name="adj1" fmla="val -68640"/>
            <a:gd name="adj2" fmla="val -77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Pulse sobre el apartado para acceder al mismo</a:t>
          </a:r>
          <a:endParaRPr lang="es-ES" sz="1200" b="0" i="0" baseline="0">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184896</xdr:colOff>
      <xdr:row>305</xdr:row>
      <xdr:rowOff>141195</xdr:rowOff>
    </xdr:from>
    <xdr:to>
      <xdr:col>15</xdr:col>
      <xdr:colOff>588308</xdr:colOff>
      <xdr:row>319</xdr:row>
      <xdr:rowOff>60512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211310</xdr:colOff>
      <xdr:row>332</xdr:row>
      <xdr:rowOff>127265</xdr:rowOff>
    </xdr:from>
    <xdr:to>
      <xdr:col>15</xdr:col>
      <xdr:colOff>614722</xdr:colOff>
      <xdr:row>346</xdr:row>
      <xdr:rowOff>46583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434627</xdr:colOff>
      <xdr:row>358</xdr:row>
      <xdr:rowOff>77160</xdr:rowOff>
    </xdr:from>
    <xdr:to>
      <xdr:col>16</xdr:col>
      <xdr:colOff>76039</xdr:colOff>
      <xdr:row>373</xdr:row>
      <xdr:rowOff>200585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403410</xdr:colOff>
      <xdr:row>504</xdr:row>
      <xdr:rowOff>100851</xdr:rowOff>
    </xdr:from>
    <xdr:to>
      <xdr:col>9</xdr:col>
      <xdr:colOff>134470</xdr:colOff>
      <xdr:row>512</xdr:row>
      <xdr:rowOff>190499</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403412</xdr:colOff>
      <xdr:row>514</xdr:row>
      <xdr:rowOff>44823</xdr:rowOff>
    </xdr:from>
    <xdr:to>
      <xdr:col>9</xdr:col>
      <xdr:colOff>145676</xdr:colOff>
      <xdr:row>522</xdr:row>
      <xdr:rowOff>134471</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134471</xdr:colOff>
      <xdr:row>510</xdr:row>
      <xdr:rowOff>89647</xdr:rowOff>
    </xdr:from>
    <xdr:to>
      <xdr:col>3</xdr:col>
      <xdr:colOff>683560</xdr:colOff>
      <xdr:row>518</xdr:row>
      <xdr:rowOff>179295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918881</xdr:colOff>
      <xdr:row>507</xdr:row>
      <xdr:rowOff>78442</xdr:rowOff>
    </xdr:from>
    <xdr:to>
      <xdr:col>4</xdr:col>
      <xdr:colOff>268941</xdr:colOff>
      <xdr:row>519</xdr:row>
      <xdr:rowOff>156885</xdr:rowOff>
    </xdr:to>
    <xdr:sp macro="" textlink="">
      <xdr:nvSpPr>
        <xdr:cNvPr id="17" name="16 Abrir llave"/>
        <xdr:cNvSpPr/>
      </xdr:nvSpPr>
      <xdr:spPr>
        <a:xfrm>
          <a:off x="4359087" y="23476324"/>
          <a:ext cx="403413" cy="2498914"/>
        </a:xfrm>
        <a:prstGeom prst="lef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ES" sz="1100"/>
        </a:p>
      </xdr:txBody>
    </xdr:sp>
    <xdr:clientData/>
  </xdr:twoCellAnchor>
  <xdr:twoCellAnchor>
    <xdr:from>
      <xdr:col>8</xdr:col>
      <xdr:colOff>862851</xdr:colOff>
      <xdr:row>558</xdr:row>
      <xdr:rowOff>134469</xdr:rowOff>
    </xdr:from>
    <xdr:to>
      <xdr:col>14</xdr:col>
      <xdr:colOff>212912</xdr:colOff>
      <xdr:row>570</xdr:row>
      <xdr:rowOff>26892</xdr:rowOff>
    </xdr:to>
    <xdr:graphicFrame macro="">
      <xdr:nvGraphicFramePr>
        <xdr:cNvPr id="23" name="2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100851</xdr:colOff>
      <xdr:row>559</xdr:row>
      <xdr:rowOff>44824</xdr:rowOff>
    </xdr:from>
    <xdr:to>
      <xdr:col>8</xdr:col>
      <xdr:colOff>78441</xdr:colOff>
      <xdr:row>569</xdr:row>
      <xdr:rowOff>33618</xdr:rowOff>
    </xdr:to>
    <xdr:graphicFrame macro="">
      <xdr:nvGraphicFramePr>
        <xdr:cNvPr id="24" name="2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56031</xdr:colOff>
      <xdr:row>564</xdr:row>
      <xdr:rowOff>67236</xdr:rowOff>
    </xdr:from>
    <xdr:to>
      <xdr:col>3</xdr:col>
      <xdr:colOff>470648</xdr:colOff>
      <xdr:row>573</xdr:row>
      <xdr:rowOff>190501</xdr:rowOff>
    </xdr:to>
    <xdr:graphicFrame macro="">
      <xdr:nvGraphicFramePr>
        <xdr:cNvPr id="25" name="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67235</xdr:colOff>
      <xdr:row>569</xdr:row>
      <xdr:rowOff>156881</xdr:rowOff>
    </xdr:from>
    <xdr:to>
      <xdr:col>8</xdr:col>
      <xdr:colOff>56030</xdr:colOff>
      <xdr:row>579</xdr:row>
      <xdr:rowOff>56028</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549088</xdr:colOff>
      <xdr:row>563</xdr:row>
      <xdr:rowOff>67235</xdr:rowOff>
    </xdr:from>
    <xdr:to>
      <xdr:col>3</xdr:col>
      <xdr:colOff>952501</xdr:colOff>
      <xdr:row>575</xdr:row>
      <xdr:rowOff>145678</xdr:rowOff>
    </xdr:to>
    <xdr:sp macro="" textlink="">
      <xdr:nvSpPr>
        <xdr:cNvPr id="27" name="26 Abrir llave"/>
        <xdr:cNvSpPr/>
      </xdr:nvSpPr>
      <xdr:spPr>
        <a:xfrm>
          <a:off x="3989294" y="30547235"/>
          <a:ext cx="403413" cy="2498914"/>
        </a:xfrm>
        <a:prstGeom prst="lef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ES" sz="1100"/>
        </a:p>
      </xdr:txBody>
    </xdr:sp>
    <xdr:clientData/>
  </xdr:twoCellAnchor>
  <xdr:twoCellAnchor>
    <xdr:from>
      <xdr:col>5</xdr:col>
      <xdr:colOff>312965</xdr:colOff>
      <xdr:row>529</xdr:row>
      <xdr:rowOff>180094</xdr:rowOff>
    </xdr:from>
    <xdr:to>
      <xdr:col>9</xdr:col>
      <xdr:colOff>693965</xdr:colOff>
      <xdr:row>538</xdr:row>
      <xdr:rowOff>63234</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163287</xdr:colOff>
      <xdr:row>886</xdr:row>
      <xdr:rowOff>190499</xdr:rowOff>
    </xdr:from>
    <xdr:to>
      <xdr:col>3</xdr:col>
      <xdr:colOff>889269</xdr:colOff>
      <xdr:row>896</xdr:row>
      <xdr:rowOff>122464</xdr:rowOff>
    </xdr:to>
    <xdr:graphicFrame macro="">
      <xdr:nvGraphicFramePr>
        <xdr:cNvPr id="32" name="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253734</xdr:colOff>
      <xdr:row>886</xdr:row>
      <xdr:rowOff>187298</xdr:rowOff>
    </xdr:from>
    <xdr:to>
      <xdr:col>8</xdr:col>
      <xdr:colOff>657147</xdr:colOff>
      <xdr:row>896</xdr:row>
      <xdr:rowOff>131269</xdr:rowOff>
    </xdr:to>
    <xdr:graphicFrame macro="">
      <xdr:nvGraphicFramePr>
        <xdr:cNvPr id="33" name="3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96850</xdr:colOff>
      <xdr:row>886</xdr:row>
      <xdr:rowOff>178495</xdr:rowOff>
    </xdr:from>
    <xdr:to>
      <xdr:col>13</xdr:col>
      <xdr:colOff>410616</xdr:colOff>
      <xdr:row>896</xdr:row>
      <xdr:rowOff>122465</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22413</xdr:colOff>
      <xdr:row>590</xdr:row>
      <xdr:rowOff>112058</xdr:rowOff>
    </xdr:from>
    <xdr:to>
      <xdr:col>3</xdr:col>
      <xdr:colOff>750796</xdr:colOff>
      <xdr:row>600</xdr:row>
      <xdr:rowOff>44023</xdr:rowOff>
    </xdr:to>
    <xdr:graphicFrame macro="">
      <xdr:nvGraphicFramePr>
        <xdr:cNvPr id="28" name="2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619</xdr:row>
      <xdr:rowOff>134471</xdr:rowOff>
    </xdr:from>
    <xdr:to>
      <xdr:col>3</xdr:col>
      <xdr:colOff>728383</xdr:colOff>
      <xdr:row>629</xdr:row>
      <xdr:rowOff>178495</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33617</xdr:colOff>
      <xdr:row>642</xdr:row>
      <xdr:rowOff>112059</xdr:rowOff>
    </xdr:from>
    <xdr:to>
      <xdr:col>3</xdr:col>
      <xdr:colOff>762000</xdr:colOff>
      <xdr:row>652</xdr:row>
      <xdr:rowOff>156083</xdr:rowOff>
    </xdr:to>
    <xdr:graphicFrame macro="">
      <xdr:nvGraphicFramePr>
        <xdr:cNvPr id="30"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22412</xdr:colOff>
      <xdr:row>667</xdr:row>
      <xdr:rowOff>44823</xdr:rowOff>
    </xdr:from>
    <xdr:to>
      <xdr:col>3</xdr:col>
      <xdr:colOff>750795</xdr:colOff>
      <xdr:row>677</xdr:row>
      <xdr:rowOff>88847</xdr:rowOff>
    </xdr:to>
    <xdr:graphicFrame macro="">
      <xdr:nvGraphicFramePr>
        <xdr:cNvPr id="35" name="3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156883</xdr:colOff>
      <xdr:row>691</xdr:row>
      <xdr:rowOff>201705</xdr:rowOff>
    </xdr:from>
    <xdr:to>
      <xdr:col>3</xdr:col>
      <xdr:colOff>705972</xdr:colOff>
      <xdr:row>701</xdr:row>
      <xdr:rowOff>133670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129665</xdr:colOff>
      <xdr:row>529</xdr:row>
      <xdr:rowOff>120062</xdr:rowOff>
    </xdr:from>
    <xdr:to>
      <xdr:col>4</xdr:col>
      <xdr:colOff>258534</xdr:colOff>
      <xdr:row>538</xdr:row>
      <xdr:rowOff>108856</xdr:rowOff>
    </xdr:to>
    <xdr:sp macro="" textlink="">
      <xdr:nvSpPr>
        <xdr:cNvPr id="39" name="AutoShape 65"/>
        <xdr:cNvSpPr>
          <a:spLocks noChangeArrowheads="1"/>
        </xdr:cNvSpPr>
      </xdr:nvSpPr>
      <xdr:spPr bwMode="auto">
        <a:xfrm>
          <a:off x="415415" y="76129562"/>
          <a:ext cx="4319869" cy="1825758"/>
        </a:xfrm>
        <a:prstGeom prst="wedgeRectCallout">
          <a:avLst>
            <a:gd name="adj1" fmla="val 69112"/>
            <a:gd name="adj2" fmla="val -730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a:t>
          </a:r>
          <a:r>
            <a:rPr lang="es-ES" sz="1400" b="1" i="0" baseline="0">
              <a:effectLst/>
              <a:latin typeface="Arial" pitchFamily="34" charset="0"/>
              <a:ea typeface="+mn-ea"/>
              <a:cs typeface="Arial" pitchFamily="34" charset="0"/>
            </a:rPr>
            <a:t>rentabilidad financiera</a:t>
          </a:r>
          <a:r>
            <a:rPr lang="es-ES" sz="1400" b="0" i="0" baseline="0">
              <a:effectLst/>
              <a:latin typeface="Arial" pitchFamily="34" charset="0"/>
              <a:ea typeface="+mn-ea"/>
              <a:cs typeface="Arial" pitchFamily="34" charset="0"/>
            </a:rPr>
            <a:t> relaciona el beneficio del ejercicio con el patrimonio neto. </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Es la rentabilidad que  másinteresa a los propietarios de la empresa, pues relaciona el dinero que han invertido con el beneficio final que la empresa ha obtenido, despues de pagar intereses, impuestos, gastos financieros, etc.</a:t>
          </a:r>
          <a:endParaRPr lang="es-ES" sz="1400">
            <a:effectLst/>
            <a:latin typeface="Arial" pitchFamily="34" charset="0"/>
            <a:cs typeface="Arial" pitchFamily="34" charset="0"/>
          </a:endParaRPr>
        </a:p>
        <a:p>
          <a:pPr rtl="0"/>
          <a:endParaRPr lang="es-ES" sz="1000">
            <a:effectLst/>
          </a:endParaRPr>
        </a:p>
      </xdr:txBody>
    </xdr:sp>
    <xdr:clientData/>
  </xdr:twoCellAnchor>
  <xdr:twoCellAnchor>
    <xdr:from>
      <xdr:col>8</xdr:col>
      <xdr:colOff>850446</xdr:colOff>
      <xdr:row>749</xdr:row>
      <xdr:rowOff>70755</xdr:rowOff>
    </xdr:from>
    <xdr:to>
      <xdr:col>15</xdr:col>
      <xdr:colOff>517073</xdr:colOff>
      <xdr:row>765</xdr:row>
      <xdr:rowOff>95250</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11205</xdr:colOff>
      <xdr:row>798</xdr:row>
      <xdr:rowOff>78440</xdr:rowOff>
    </xdr:from>
    <xdr:to>
      <xdr:col>17</xdr:col>
      <xdr:colOff>557893</xdr:colOff>
      <xdr:row>824</xdr:row>
      <xdr:rowOff>121226</xdr:rowOff>
    </xdr:to>
    <xdr:graphicFrame macro="">
      <xdr:nvGraphicFramePr>
        <xdr:cNvPr id="19" name="18 Gráfico" title="Cuota de mercad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346982</xdr:colOff>
      <xdr:row>1013</xdr:row>
      <xdr:rowOff>190500</xdr:rowOff>
    </xdr:from>
    <xdr:to>
      <xdr:col>16</xdr:col>
      <xdr:colOff>585109</xdr:colOff>
      <xdr:row>1034</xdr:row>
      <xdr:rowOff>95249</xdr:rowOff>
    </xdr:to>
    <xdr:graphicFrame macro="">
      <xdr:nvGraphicFramePr>
        <xdr:cNvPr id="53" name="5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823230</xdr:colOff>
      <xdr:row>960</xdr:row>
      <xdr:rowOff>43542</xdr:rowOff>
    </xdr:from>
    <xdr:to>
      <xdr:col>17</xdr:col>
      <xdr:colOff>435429</xdr:colOff>
      <xdr:row>977</xdr:row>
      <xdr:rowOff>149678</xdr:rowOff>
    </xdr:to>
    <xdr:graphicFrame macro="">
      <xdr:nvGraphicFramePr>
        <xdr:cNvPr id="54" name="5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843641</xdr:colOff>
      <xdr:row>978</xdr:row>
      <xdr:rowOff>125185</xdr:rowOff>
    </xdr:from>
    <xdr:to>
      <xdr:col>17</xdr:col>
      <xdr:colOff>489856</xdr:colOff>
      <xdr:row>995</xdr:row>
      <xdr:rowOff>136071</xdr:rowOff>
    </xdr:to>
    <xdr:graphicFrame macro="">
      <xdr:nvGraphicFramePr>
        <xdr:cNvPr id="56" name="5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427</xdr:row>
      <xdr:rowOff>121227</xdr:rowOff>
    </xdr:from>
    <xdr:to>
      <xdr:col>17</xdr:col>
      <xdr:colOff>343271</xdr:colOff>
      <xdr:row>448</xdr:row>
      <xdr:rowOff>163038</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17318</xdr:colOff>
      <xdr:row>450</xdr:row>
      <xdr:rowOff>135080</xdr:rowOff>
    </xdr:from>
    <xdr:to>
      <xdr:col>17</xdr:col>
      <xdr:colOff>329046</xdr:colOff>
      <xdr:row>472</xdr:row>
      <xdr:rowOff>173182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244928</xdr:colOff>
      <xdr:row>274</xdr:row>
      <xdr:rowOff>1</xdr:rowOff>
    </xdr:from>
    <xdr:to>
      <xdr:col>16</xdr:col>
      <xdr:colOff>435428</xdr:colOff>
      <xdr:row>282</xdr:row>
      <xdr:rowOff>27214</xdr:rowOff>
    </xdr:to>
    <xdr:sp macro="" textlink="">
      <xdr:nvSpPr>
        <xdr:cNvPr id="50" name="AutoShape 65"/>
        <xdr:cNvSpPr>
          <a:spLocks noChangeArrowheads="1"/>
        </xdr:cNvSpPr>
      </xdr:nvSpPr>
      <xdr:spPr bwMode="auto">
        <a:xfrm>
          <a:off x="3673928" y="54809572"/>
          <a:ext cx="12613821" cy="1660071"/>
        </a:xfrm>
        <a:prstGeom prst="wedgeRectCallout">
          <a:avLst>
            <a:gd name="adj1" fmla="val -49159"/>
            <a:gd name="adj2" fmla="val 6782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A partir de las inversiones iniciales, su financiación y las hipótesis de crecimiento se calculan las cuentas anuales previsionales de la empresa, de 5 años . Los resultados deben comparase con el sector. Información sectorial en CBBE (Central de Balances del Banco de España). En CBBE se puede descargar la Aplicación de Agregados Sectoriales (ASC) cuya dirección es http://app.bde.es/ASC_WWW/ASC_WWW.application La web de CBBE también permite descargar directamente los ratios financieros por sectores, en http://app.bde.es/rss_www/ Puede compararse información de sectores europeos en la base de datos BACH http://www.bachesd.banque-france.fr gratuita pero hay que registrarse.</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También es posible utilizar bases de datos comerciales que toman información del registro mercantil, como Axesor http://www.axesor.es</a:t>
          </a:r>
          <a:endParaRPr lang="es-ES" sz="1200" b="0" i="0" baseline="0">
            <a:effectLst/>
            <a:latin typeface="Arial" pitchFamily="34" charset="0"/>
            <a:ea typeface="+mn-ea"/>
            <a:cs typeface="Arial" pitchFamily="34" charset="0"/>
          </a:endParaRPr>
        </a:p>
      </xdr:txBody>
    </xdr:sp>
    <xdr:clientData/>
  </xdr:twoCellAnchor>
  <xdr:twoCellAnchor>
    <xdr:from>
      <xdr:col>10</xdr:col>
      <xdr:colOff>340178</xdr:colOff>
      <xdr:row>319</xdr:row>
      <xdr:rowOff>136071</xdr:rowOff>
    </xdr:from>
    <xdr:to>
      <xdr:col>16</xdr:col>
      <xdr:colOff>530679</xdr:colOff>
      <xdr:row>330</xdr:row>
      <xdr:rowOff>12200</xdr:rowOff>
    </xdr:to>
    <xdr:sp macro="" textlink="">
      <xdr:nvSpPr>
        <xdr:cNvPr id="51" name="AutoShape 65"/>
        <xdr:cNvSpPr>
          <a:spLocks noChangeArrowheads="1"/>
        </xdr:cNvSpPr>
      </xdr:nvSpPr>
      <xdr:spPr bwMode="auto">
        <a:xfrm>
          <a:off x="10314214" y="7184571"/>
          <a:ext cx="5538108" cy="2094093"/>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538108" h="2094093">
              <a:moveTo>
                <a:pt x="0" y="394607"/>
              </a:moveTo>
              <a:lnTo>
                <a:pt x="1440089" y="381000"/>
              </a:lnTo>
              <a:lnTo>
                <a:pt x="895804" y="0"/>
              </a:lnTo>
              <a:lnTo>
                <a:pt x="2307545" y="394607"/>
              </a:lnTo>
              <a:lnTo>
                <a:pt x="5538108" y="394607"/>
              </a:lnTo>
              <a:lnTo>
                <a:pt x="5538108" y="1235982"/>
              </a:lnTo>
              <a:lnTo>
                <a:pt x="5538108" y="1235982"/>
              </a:lnTo>
              <a:lnTo>
                <a:pt x="5538108" y="1596571"/>
              </a:lnTo>
              <a:lnTo>
                <a:pt x="5538108" y="1836964"/>
              </a:lnTo>
              <a:lnTo>
                <a:pt x="2307545" y="1836964"/>
              </a:lnTo>
              <a:lnTo>
                <a:pt x="46575" y="2094093"/>
              </a:lnTo>
              <a:lnTo>
                <a:pt x="923018" y="1836964"/>
              </a:lnTo>
              <a:lnTo>
                <a:pt x="0" y="1836964"/>
              </a:lnTo>
              <a:lnTo>
                <a:pt x="0" y="1596571"/>
              </a:lnTo>
              <a:lnTo>
                <a:pt x="0" y="1235982"/>
              </a:lnTo>
              <a:lnTo>
                <a:pt x="0" y="1235982"/>
              </a:lnTo>
              <a:lnTo>
                <a:pt x="0" y="394607"/>
              </a:lnTo>
              <a:close/>
            </a:path>
          </a:pathLst>
        </a:cu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Gráficos que pemiten analizar la evolución y el equilibro de las masas patrimoniales tanto del activo como del pasivo. En el ejemplo analizo destaca el aumento de la cifra de existencias en el activo. Y del fortalecimiento del capital en el pasivo, que ha superado al endeudamiento. </a:t>
          </a:r>
        </a:p>
      </xdr:txBody>
    </xdr:sp>
    <xdr:clientData/>
  </xdr:twoCellAnchor>
  <xdr:twoCellAnchor>
    <xdr:from>
      <xdr:col>2</xdr:col>
      <xdr:colOff>204108</xdr:colOff>
      <xdr:row>387</xdr:row>
      <xdr:rowOff>81643</xdr:rowOff>
    </xdr:from>
    <xdr:to>
      <xdr:col>15</xdr:col>
      <xdr:colOff>898072</xdr:colOff>
      <xdr:row>395</xdr:row>
      <xdr:rowOff>122465</xdr:rowOff>
    </xdr:to>
    <xdr:sp macro="" textlink="">
      <xdr:nvSpPr>
        <xdr:cNvPr id="58" name="AutoShape 65"/>
        <xdr:cNvSpPr>
          <a:spLocks noChangeArrowheads="1"/>
        </xdr:cNvSpPr>
      </xdr:nvSpPr>
      <xdr:spPr bwMode="auto">
        <a:xfrm>
          <a:off x="489858" y="40399607"/>
          <a:ext cx="14804571" cy="167367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317482"/>
            <a:gd name="connsiteX1" fmla="*/ 5538108 w 5538108"/>
            <a:gd name="connsiteY1" fmla="*/ 0 h 2317482"/>
            <a:gd name="connsiteX2" fmla="*/ 5538108 w 5538108"/>
            <a:gd name="connsiteY2" fmla="*/ 841375 h 2317482"/>
            <a:gd name="connsiteX3" fmla="*/ 5538108 w 5538108"/>
            <a:gd name="connsiteY3" fmla="*/ 841375 h 2317482"/>
            <a:gd name="connsiteX4" fmla="*/ 5538108 w 5538108"/>
            <a:gd name="connsiteY4" fmla="*/ 1201964 h 2317482"/>
            <a:gd name="connsiteX5" fmla="*/ 5538108 w 5538108"/>
            <a:gd name="connsiteY5" fmla="*/ 1442357 h 2317482"/>
            <a:gd name="connsiteX6" fmla="*/ 2307545 w 5538108"/>
            <a:gd name="connsiteY6" fmla="*/ 1442357 h 2317482"/>
            <a:gd name="connsiteX7" fmla="*/ 3016104 w 5538108"/>
            <a:gd name="connsiteY7" fmla="*/ 2317482 h 2317482"/>
            <a:gd name="connsiteX8" fmla="*/ 923018 w 5538108"/>
            <a:gd name="connsiteY8" fmla="*/ 1442357 h 2317482"/>
            <a:gd name="connsiteX9" fmla="*/ 0 w 5538108"/>
            <a:gd name="connsiteY9" fmla="*/ 1442357 h 2317482"/>
            <a:gd name="connsiteX10" fmla="*/ 0 w 5538108"/>
            <a:gd name="connsiteY10" fmla="*/ 1201964 h 2317482"/>
            <a:gd name="connsiteX11" fmla="*/ 0 w 5538108"/>
            <a:gd name="connsiteY11" fmla="*/ 841375 h 2317482"/>
            <a:gd name="connsiteX12" fmla="*/ 0 w 5538108"/>
            <a:gd name="connsiteY12" fmla="*/ 841375 h 2317482"/>
            <a:gd name="connsiteX13" fmla="*/ 0 w 5538108"/>
            <a:gd name="connsiteY13" fmla="*/ 0 h 2317482"/>
            <a:gd name="connsiteX0" fmla="*/ 0 w 5538108"/>
            <a:gd name="connsiteY0" fmla="*/ 0 h 2317482"/>
            <a:gd name="connsiteX1" fmla="*/ 5538108 w 5538108"/>
            <a:gd name="connsiteY1" fmla="*/ 0 h 2317482"/>
            <a:gd name="connsiteX2" fmla="*/ 5538108 w 5538108"/>
            <a:gd name="connsiteY2" fmla="*/ 841375 h 2317482"/>
            <a:gd name="connsiteX3" fmla="*/ 5538108 w 5538108"/>
            <a:gd name="connsiteY3" fmla="*/ 841375 h 2317482"/>
            <a:gd name="connsiteX4" fmla="*/ 5538108 w 5538108"/>
            <a:gd name="connsiteY4" fmla="*/ 1201964 h 2317482"/>
            <a:gd name="connsiteX5" fmla="*/ 5538108 w 5538108"/>
            <a:gd name="connsiteY5" fmla="*/ 1442357 h 2317482"/>
            <a:gd name="connsiteX6" fmla="*/ 1350593 w 5538108"/>
            <a:gd name="connsiteY6" fmla="*/ 1420074 h 2317482"/>
            <a:gd name="connsiteX7" fmla="*/ 3016104 w 5538108"/>
            <a:gd name="connsiteY7" fmla="*/ 2317482 h 2317482"/>
            <a:gd name="connsiteX8" fmla="*/ 923018 w 5538108"/>
            <a:gd name="connsiteY8" fmla="*/ 1442357 h 2317482"/>
            <a:gd name="connsiteX9" fmla="*/ 0 w 5538108"/>
            <a:gd name="connsiteY9" fmla="*/ 1442357 h 2317482"/>
            <a:gd name="connsiteX10" fmla="*/ 0 w 5538108"/>
            <a:gd name="connsiteY10" fmla="*/ 1201964 h 2317482"/>
            <a:gd name="connsiteX11" fmla="*/ 0 w 5538108"/>
            <a:gd name="connsiteY11" fmla="*/ 841375 h 2317482"/>
            <a:gd name="connsiteX12" fmla="*/ 0 w 5538108"/>
            <a:gd name="connsiteY12" fmla="*/ 841375 h 2317482"/>
            <a:gd name="connsiteX13" fmla="*/ 0 w 5538108"/>
            <a:gd name="connsiteY13" fmla="*/ 0 h 2317482"/>
            <a:gd name="connsiteX0" fmla="*/ 0 w 5538108"/>
            <a:gd name="connsiteY0" fmla="*/ 0 h 2139214"/>
            <a:gd name="connsiteX1" fmla="*/ 5538108 w 5538108"/>
            <a:gd name="connsiteY1" fmla="*/ 0 h 2139214"/>
            <a:gd name="connsiteX2" fmla="*/ 5538108 w 5538108"/>
            <a:gd name="connsiteY2" fmla="*/ 841375 h 2139214"/>
            <a:gd name="connsiteX3" fmla="*/ 5538108 w 5538108"/>
            <a:gd name="connsiteY3" fmla="*/ 841375 h 2139214"/>
            <a:gd name="connsiteX4" fmla="*/ 5538108 w 5538108"/>
            <a:gd name="connsiteY4" fmla="*/ 1201964 h 2139214"/>
            <a:gd name="connsiteX5" fmla="*/ 5538108 w 5538108"/>
            <a:gd name="connsiteY5" fmla="*/ 1442357 h 2139214"/>
            <a:gd name="connsiteX6" fmla="*/ 1350593 w 5538108"/>
            <a:gd name="connsiteY6" fmla="*/ 1420074 h 2139214"/>
            <a:gd name="connsiteX7" fmla="*/ 1926807 w 5538108"/>
            <a:gd name="connsiteY7" fmla="*/ 2139214 h 2139214"/>
            <a:gd name="connsiteX8" fmla="*/ 923018 w 5538108"/>
            <a:gd name="connsiteY8" fmla="*/ 1442357 h 2139214"/>
            <a:gd name="connsiteX9" fmla="*/ 0 w 5538108"/>
            <a:gd name="connsiteY9" fmla="*/ 1442357 h 2139214"/>
            <a:gd name="connsiteX10" fmla="*/ 0 w 5538108"/>
            <a:gd name="connsiteY10" fmla="*/ 1201964 h 2139214"/>
            <a:gd name="connsiteX11" fmla="*/ 0 w 5538108"/>
            <a:gd name="connsiteY11" fmla="*/ 841375 h 2139214"/>
            <a:gd name="connsiteX12" fmla="*/ 0 w 5538108"/>
            <a:gd name="connsiteY12" fmla="*/ 841375 h 2139214"/>
            <a:gd name="connsiteX13" fmla="*/ 0 w 5538108"/>
            <a:gd name="connsiteY13" fmla="*/ 0 h 2139214"/>
            <a:gd name="connsiteX0" fmla="*/ 0 w 5538108"/>
            <a:gd name="connsiteY0" fmla="*/ 0 h 2139214"/>
            <a:gd name="connsiteX1" fmla="*/ 5538108 w 5538108"/>
            <a:gd name="connsiteY1" fmla="*/ 0 h 2139214"/>
            <a:gd name="connsiteX2" fmla="*/ 5538108 w 5538108"/>
            <a:gd name="connsiteY2" fmla="*/ 841375 h 2139214"/>
            <a:gd name="connsiteX3" fmla="*/ 5538108 w 5538108"/>
            <a:gd name="connsiteY3" fmla="*/ 1201964 h 2139214"/>
            <a:gd name="connsiteX4" fmla="*/ 5538108 w 5538108"/>
            <a:gd name="connsiteY4" fmla="*/ 1442357 h 2139214"/>
            <a:gd name="connsiteX5" fmla="*/ 1350593 w 5538108"/>
            <a:gd name="connsiteY5" fmla="*/ 1420074 h 2139214"/>
            <a:gd name="connsiteX6" fmla="*/ 1926807 w 5538108"/>
            <a:gd name="connsiteY6" fmla="*/ 2139214 h 2139214"/>
            <a:gd name="connsiteX7" fmla="*/ 923018 w 5538108"/>
            <a:gd name="connsiteY7" fmla="*/ 1442357 h 2139214"/>
            <a:gd name="connsiteX8" fmla="*/ 0 w 5538108"/>
            <a:gd name="connsiteY8" fmla="*/ 1442357 h 2139214"/>
            <a:gd name="connsiteX9" fmla="*/ 0 w 5538108"/>
            <a:gd name="connsiteY9" fmla="*/ 1201964 h 2139214"/>
            <a:gd name="connsiteX10" fmla="*/ 0 w 5538108"/>
            <a:gd name="connsiteY10" fmla="*/ 841375 h 2139214"/>
            <a:gd name="connsiteX11" fmla="*/ 0 w 5538108"/>
            <a:gd name="connsiteY11" fmla="*/ 841375 h 2139214"/>
            <a:gd name="connsiteX12" fmla="*/ 0 w 5538108"/>
            <a:gd name="connsiteY12" fmla="*/ 0 h 2139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538108" h="2139214">
              <a:moveTo>
                <a:pt x="0" y="0"/>
              </a:moveTo>
              <a:lnTo>
                <a:pt x="5538108" y="0"/>
              </a:lnTo>
              <a:lnTo>
                <a:pt x="5538108" y="841375"/>
              </a:lnTo>
              <a:lnTo>
                <a:pt x="5538108" y="1201964"/>
              </a:lnTo>
              <a:lnTo>
                <a:pt x="5538108" y="1442357"/>
              </a:lnTo>
              <a:lnTo>
                <a:pt x="1350593" y="1420074"/>
              </a:lnTo>
              <a:lnTo>
                <a:pt x="1926807" y="2139214"/>
              </a:lnTo>
              <a:lnTo>
                <a:pt x="923018" y="1442357"/>
              </a:lnTo>
              <a:lnTo>
                <a:pt x="0" y="1442357"/>
              </a:lnTo>
              <a:lnTo>
                <a:pt x="0" y="1201964"/>
              </a:lnTo>
              <a:lnTo>
                <a:pt x="0" y="841375"/>
              </a:lnTo>
              <a:lnTo>
                <a:pt x="0" y="841375"/>
              </a:lnTo>
              <a:lnTo>
                <a:pt x="0" y="0"/>
              </a:lnTo>
              <a:close/>
            </a:path>
          </a:pathLst>
        </a:cu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a:t>
          </a:r>
          <a:r>
            <a:rPr lang="es-ES" sz="1400" b="1" i="0" baseline="0">
              <a:effectLst/>
              <a:latin typeface="Arial" pitchFamily="34" charset="0"/>
              <a:ea typeface="+mn-ea"/>
              <a:cs typeface="Arial" pitchFamily="34" charset="0"/>
            </a:rPr>
            <a:t>cascada de resultados de la empresa </a:t>
          </a:r>
          <a:r>
            <a:rPr lang="es-ES" sz="1400" b="0" i="0" baseline="0">
              <a:effectLst/>
              <a:latin typeface="Arial" pitchFamily="34" charset="0"/>
              <a:ea typeface="+mn-ea"/>
              <a:cs typeface="Arial" pitchFamily="34" charset="0"/>
            </a:rPr>
            <a:t>permite analizar visualmente la contribución de cada una de las partidas que componen el resultado. Es interesante comparar con el sector, así podemos comprobar el impacto de partidas como los gastos de personal, los gastos o ingresos financierosen los resultados intermedios y el beneficio final. El gráfico en excel es un sencillo gráfico de barras apiladas pero con la particularidad de que se incluye una serie sin relleno ni borde para conseguir el efecto deseado de cascada. Nótese como hay que indicar correctamente el origen de cada barra. En el ejemplo analizado se nota en la empresa la cuantía que supone para la empresa la partida "gastos de personal" en comparación con el sector. En posteriores análisis cabe concretar si se debe a altos sueldos, baja productividad u otros factores.</a:t>
          </a:r>
        </a:p>
      </xdr:txBody>
    </xdr:sp>
    <xdr:clientData/>
  </xdr:twoCellAnchor>
  <xdr:twoCellAnchor>
    <xdr:from>
      <xdr:col>2</xdr:col>
      <xdr:colOff>857250</xdr:colOff>
      <xdr:row>478</xdr:row>
      <xdr:rowOff>13607</xdr:rowOff>
    </xdr:from>
    <xdr:to>
      <xdr:col>10</xdr:col>
      <xdr:colOff>40821</xdr:colOff>
      <xdr:row>486</xdr:row>
      <xdr:rowOff>54429</xdr:rowOff>
    </xdr:to>
    <xdr:sp macro="" textlink="">
      <xdr:nvSpPr>
        <xdr:cNvPr id="59" name="AutoShape 65"/>
        <xdr:cNvSpPr>
          <a:spLocks noChangeArrowheads="1"/>
        </xdr:cNvSpPr>
      </xdr:nvSpPr>
      <xdr:spPr bwMode="auto">
        <a:xfrm>
          <a:off x="1143000" y="58674000"/>
          <a:ext cx="8871857" cy="167367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317482"/>
            <a:gd name="connsiteX1" fmla="*/ 5538108 w 5538108"/>
            <a:gd name="connsiteY1" fmla="*/ 0 h 2317482"/>
            <a:gd name="connsiteX2" fmla="*/ 5538108 w 5538108"/>
            <a:gd name="connsiteY2" fmla="*/ 841375 h 2317482"/>
            <a:gd name="connsiteX3" fmla="*/ 5538108 w 5538108"/>
            <a:gd name="connsiteY3" fmla="*/ 841375 h 2317482"/>
            <a:gd name="connsiteX4" fmla="*/ 5538108 w 5538108"/>
            <a:gd name="connsiteY4" fmla="*/ 1201964 h 2317482"/>
            <a:gd name="connsiteX5" fmla="*/ 5538108 w 5538108"/>
            <a:gd name="connsiteY5" fmla="*/ 1442357 h 2317482"/>
            <a:gd name="connsiteX6" fmla="*/ 2307545 w 5538108"/>
            <a:gd name="connsiteY6" fmla="*/ 1442357 h 2317482"/>
            <a:gd name="connsiteX7" fmla="*/ 3016104 w 5538108"/>
            <a:gd name="connsiteY7" fmla="*/ 2317482 h 2317482"/>
            <a:gd name="connsiteX8" fmla="*/ 923018 w 5538108"/>
            <a:gd name="connsiteY8" fmla="*/ 1442357 h 2317482"/>
            <a:gd name="connsiteX9" fmla="*/ 0 w 5538108"/>
            <a:gd name="connsiteY9" fmla="*/ 1442357 h 2317482"/>
            <a:gd name="connsiteX10" fmla="*/ 0 w 5538108"/>
            <a:gd name="connsiteY10" fmla="*/ 1201964 h 2317482"/>
            <a:gd name="connsiteX11" fmla="*/ 0 w 5538108"/>
            <a:gd name="connsiteY11" fmla="*/ 841375 h 2317482"/>
            <a:gd name="connsiteX12" fmla="*/ 0 w 5538108"/>
            <a:gd name="connsiteY12" fmla="*/ 841375 h 2317482"/>
            <a:gd name="connsiteX13" fmla="*/ 0 w 5538108"/>
            <a:gd name="connsiteY13" fmla="*/ 0 h 2317482"/>
            <a:gd name="connsiteX0" fmla="*/ 0 w 5538108"/>
            <a:gd name="connsiteY0" fmla="*/ 0 h 2317482"/>
            <a:gd name="connsiteX1" fmla="*/ 5538108 w 5538108"/>
            <a:gd name="connsiteY1" fmla="*/ 0 h 2317482"/>
            <a:gd name="connsiteX2" fmla="*/ 5538108 w 5538108"/>
            <a:gd name="connsiteY2" fmla="*/ 841375 h 2317482"/>
            <a:gd name="connsiteX3" fmla="*/ 5538108 w 5538108"/>
            <a:gd name="connsiteY3" fmla="*/ 841375 h 2317482"/>
            <a:gd name="connsiteX4" fmla="*/ 5538108 w 5538108"/>
            <a:gd name="connsiteY4" fmla="*/ 1201964 h 2317482"/>
            <a:gd name="connsiteX5" fmla="*/ 5538108 w 5538108"/>
            <a:gd name="connsiteY5" fmla="*/ 1442357 h 2317482"/>
            <a:gd name="connsiteX6" fmla="*/ 1350593 w 5538108"/>
            <a:gd name="connsiteY6" fmla="*/ 1420074 h 2317482"/>
            <a:gd name="connsiteX7" fmla="*/ 3016104 w 5538108"/>
            <a:gd name="connsiteY7" fmla="*/ 2317482 h 2317482"/>
            <a:gd name="connsiteX8" fmla="*/ 923018 w 5538108"/>
            <a:gd name="connsiteY8" fmla="*/ 1442357 h 2317482"/>
            <a:gd name="connsiteX9" fmla="*/ 0 w 5538108"/>
            <a:gd name="connsiteY9" fmla="*/ 1442357 h 2317482"/>
            <a:gd name="connsiteX10" fmla="*/ 0 w 5538108"/>
            <a:gd name="connsiteY10" fmla="*/ 1201964 h 2317482"/>
            <a:gd name="connsiteX11" fmla="*/ 0 w 5538108"/>
            <a:gd name="connsiteY11" fmla="*/ 841375 h 2317482"/>
            <a:gd name="connsiteX12" fmla="*/ 0 w 5538108"/>
            <a:gd name="connsiteY12" fmla="*/ 841375 h 2317482"/>
            <a:gd name="connsiteX13" fmla="*/ 0 w 5538108"/>
            <a:gd name="connsiteY13" fmla="*/ 0 h 2317482"/>
            <a:gd name="connsiteX0" fmla="*/ 0 w 5538108"/>
            <a:gd name="connsiteY0" fmla="*/ 0 h 2139214"/>
            <a:gd name="connsiteX1" fmla="*/ 5538108 w 5538108"/>
            <a:gd name="connsiteY1" fmla="*/ 0 h 2139214"/>
            <a:gd name="connsiteX2" fmla="*/ 5538108 w 5538108"/>
            <a:gd name="connsiteY2" fmla="*/ 841375 h 2139214"/>
            <a:gd name="connsiteX3" fmla="*/ 5538108 w 5538108"/>
            <a:gd name="connsiteY3" fmla="*/ 841375 h 2139214"/>
            <a:gd name="connsiteX4" fmla="*/ 5538108 w 5538108"/>
            <a:gd name="connsiteY4" fmla="*/ 1201964 h 2139214"/>
            <a:gd name="connsiteX5" fmla="*/ 5538108 w 5538108"/>
            <a:gd name="connsiteY5" fmla="*/ 1442357 h 2139214"/>
            <a:gd name="connsiteX6" fmla="*/ 1350593 w 5538108"/>
            <a:gd name="connsiteY6" fmla="*/ 1420074 h 2139214"/>
            <a:gd name="connsiteX7" fmla="*/ 1926807 w 5538108"/>
            <a:gd name="connsiteY7" fmla="*/ 2139214 h 2139214"/>
            <a:gd name="connsiteX8" fmla="*/ 923018 w 5538108"/>
            <a:gd name="connsiteY8" fmla="*/ 1442357 h 2139214"/>
            <a:gd name="connsiteX9" fmla="*/ 0 w 5538108"/>
            <a:gd name="connsiteY9" fmla="*/ 1442357 h 2139214"/>
            <a:gd name="connsiteX10" fmla="*/ 0 w 5538108"/>
            <a:gd name="connsiteY10" fmla="*/ 1201964 h 2139214"/>
            <a:gd name="connsiteX11" fmla="*/ 0 w 5538108"/>
            <a:gd name="connsiteY11" fmla="*/ 841375 h 2139214"/>
            <a:gd name="connsiteX12" fmla="*/ 0 w 5538108"/>
            <a:gd name="connsiteY12" fmla="*/ 841375 h 2139214"/>
            <a:gd name="connsiteX13" fmla="*/ 0 w 5538108"/>
            <a:gd name="connsiteY13" fmla="*/ 0 h 2139214"/>
            <a:gd name="connsiteX0" fmla="*/ 0 w 5538108"/>
            <a:gd name="connsiteY0" fmla="*/ 0 h 2139214"/>
            <a:gd name="connsiteX1" fmla="*/ 5538108 w 5538108"/>
            <a:gd name="connsiteY1" fmla="*/ 0 h 2139214"/>
            <a:gd name="connsiteX2" fmla="*/ 5538108 w 5538108"/>
            <a:gd name="connsiteY2" fmla="*/ 841375 h 2139214"/>
            <a:gd name="connsiteX3" fmla="*/ 5538108 w 5538108"/>
            <a:gd name="connsiteY3" fmla="*/ 1201964 h 2139214"/>
            <a:gd name="connsiteX4" fmla="*/ 5538108 w 5538108"/>
            <a:gd name="connsiteY4" fmla="*/ 1442357 h 2139214"/>
            <a:gd name="connsiteX5" fmla="*/ 1350593 w 5538108"/>
            <a:gd name="connsiteY5" fmla="*/ 1420074 h 2139214"/>
            <a:gd name="connsiteX6" fmla="*/ 1926807 w 5538108"/>
            <a:gd name="connsiteY6" fmla="*/ 2139214 h 2139214"/>
            <a:gd name="connsiteX7" fmla="*/ 923018 w 5538108"/>
            <a:gd name="connsiteY7" fmla="*/ 1442357 h 2139214"/>
            <a:gd name="connsiteX8" fmla="*/ 0 w 5538108"/>
            <a:gd name="connsiteY8" fmla="*/ 1442357 h 2139214"/>
            <a:gd name="connsiteX9" fmla="*/ 0 w 5538108"/>
            <a:gd name="connsiteY9" fmla="*/ 1201964 h 2139214"/>
            <a:gd name="connsiteX10" fmla="*/ 0 w 5538108"/>
            <a:gd name="connsiteY10" fmla="*/ 841375 h 2139214"/>
            <a:gd name="connsiteX11" fmla="*/ 0 w 5538108"/>
            <a:gd name="connsiteY11" fmla="*/ 841375 h 2139214"/>
            <a:gd name="connsiteX12" fmla="*/ 0 w 5538108"/>
            <a:gd name="connsiteY12" fmla="*/ 0 h 2139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538108" h="2139214">
              <a:moveTo>
                <a:pt x="0" y="0"/>
              </a:moveTo>
              <a:lnTo>
                <a:pt x="5538108" y="0"/>
              </a:lnTo>
              <a:lnTo>
                <a:pt x="5538108" y="841375"/>
              </a:lnTo>
              <a:lnTo>
                <a:pt x="5538108" y="1201964"/>
              </a:lnTo>
              <a:lnTo>
                <a:pt x="5538108" y="1442357"/>
              </a:lnTo>
              <a:lnTo>
                <a:pt x="1350593" y="1420074"/>
              </a:lnTo>
              <a:lnTo>
                <a:pt x="1926807" y="2139214"/>
              </a:lnTo>
              <a:lnTo>
                <a:pt x="923018" y="1442357"/>
              </a:lnTo>
              <a:lnTo>
                <a:pt x="0" y="1442357"/>
              </a:lnTo>
              <a:lnTo>
                <a:pt x="0" y="1201964"/>
              </a:lnTo>
              <a:lnTo>
                <a:pt x="0" y="841375"/>
              </a:lnTo>
              <a:lnTo>
                <a:pt x="0" y="841375"/>
              </a:lnTo>
              <a:lnTo>
                <a:pt x="0" y="0"/>
              </a:lnTo>
              <a:close/>
            </a:path>
          </a:pathLst>
        </a:cu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rentabilidad económica relaciona el beneficio de explotación con el activo total de la compañía. Es independiente de la estructura financiera d ela empresa. Sería la rentabilidad que interesa a los técnicos o ingenieros, porque relaciona unos activos (máquinas, inmovilizados, inversiones...) con el beneficio ligado a la explotación de dichos activos.</a:t>
          </a:r>
        </a:p>
      </xdr:txBody>
    </xdr:sp>
    <xdr:clientData/>
  </xdr:twoCellAnchor>
  <xdr:twoCellAnchor>
    <xdr:from>
      <xdr:col>9</xdr:col>
      <xdr:colOff>394607</xdr:colOff>
      <xdr:row>504</xdr:row>
      <xdr:rowOff>108855</xdr:rowOff>
    </xdr:from>
    <xdr:to>
      <xdr:col>17</xdr:col>
      <xdr:colOff>285750</xdr:colOff>
      <xdr:row>519</xdr:row>
      <xdr:rowOff>163286</xdr:rowOff>
    </xdr:to>
    <xdr:sp macro="" textlink="">
      <xdr:nvSpPr>
        <xdr:cNvPr id="60" name="AutoShape 65"/>
        <xdr:cNvSpPr>
          <a:spLocks noChangeArrowheads="1"/>
        </xdr:cNvSpPr>
      </xdr:nvSpPr>
      <xdr:spPr bwMode="auto">
        <a:xfrm>
          <a:off x="9456964" y="64198498"/>
          <a:ext cx="7062107" cy="315685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317482"/>
            <a:gd name="connsiteX1" fmla="*/ 5538108 w 5538108"/>
            <a:gd name="connsiteY1" fmla="*/ 0 h 2317482"/>
            <a:gd name="connsiteX2" fmla="*/ 5538108 w 5538108"/>
            <a:gd name="connsiteY2" fmla="*/ 841375 h 2317482"/>
            <a:gd name="connsiteX3" fmla="*/ 5538108 w 5538108"/>
            <a:gd name="connsiteY3" fmla="*/ 841375 h 2317482"/>
            <a:gd name="connsiteX4" fmla="*/ 5538108 w 5538108"/>
            <a:gd name="connsiteY4" fmla="*/ 1201964 h 2317482"/>
            <a:gd name="connsiteX5" fmla="*/ 5538108 w 5538108"/>
            <a:gd name="connsiteY5" fmla="*/ 1442357 h 2317482"/>
            <a:gd name="connsiteX6" fmla="*/ 2307545 w 5538108"/>
            <a:gd name="connsiteY6" fmla="*/ 1442357 h 2317482"/>
            <a:gd name="connsiteX7" fmla="*/ 3016104 w 5538108"/>
            <a:gd name="connsiteY7" fmla="*/ 2317482 h 2317482"/>
            <a:gd name="connsiteX8" fmla="*/ 923018 w 5538108"/>
            <a:gd name="connsiteY8" fmla="*/ 1442357 h 2317482"/>
            <a:gd name="connsiteX9" fmla="*/ 0 w 5538108"/>
            <a:gd name="connsiteY9" fmla="*/ 1442357 h 2317482"/>
            <a:gd name="connsiteX10" fmla="*/ 0 w 5538108"/>
            <a:gd name="connsiteY10" fmla="*/ 1201964 h 2317482"/>
            <a:gd name="connsiteX11" fmla="*/ 0 w 5538108"/>
            <a:gd name="connsiteY11" fmla="*/ 841375 h 2317482"/>
            <a:gd name="connsiteX12" fmla="*/ 0 w 5538108"/>
            <a:gd name="connsiteY12" fmla="*/ 841375 h 2317482"/>
            <a:gd name="connsiteX13" fmla="*/ 0 w 5538108"/>
            <a:gd name="connsiteY13" fmla="*/ 0 h 2317482"/>
            <a:gd name="connsiteX0" fmla="*/ 0 w 5538108"/>
            <a:gd name="connsiteY0" fmla="*/ 0 h 2317482"/>
            <a:gd name="connsiteX1" fmla="*/ 5538108 w 5538108"/>
            <a:gd name="connsiteY1" fmla="*/ 0 h 2317482"/>
            <a:gd name="connsiteX2" fmla="*/ 5538108 w 5538108"/>
            <a:gd name="connsiteY2" fmla="*/ 841375 h 2317482"/>
            <a:gd name="connsiteX3" fmla="*/ 5538108 w 5538108"/>
            <a:gd name="connsiteY3" fmla="*/ 841375 h 2317482"/>
            <a:gd name="connsiteX4" fmla="*/ 5538108 w 5538108"/>
            <a:gd name="connsiteY4" fmla="*/ 1201964 h 2317482"/>
            <a:gd name="connsiteX5" fmla="*/ 5538108 w 5538108"/>
            <a:gd name="connsiteY5" fmla="*/ 1442357 h 2317482"/>
            <a:gd name="connsiteX6" fmla="*/ 1350593 w 5538108"/>
            <a:gd name="connsiteY6" fmla="*/ 1420074 h 2317482"/>
            <a:gd name="connsiteX7" fmla="*/ 3016104 w 5538108"/>
            <a:gd name="connsiteY7" fmla="*/ 2317482 h 2317482"/>
            <a:gd name="connsiteX8" fmla="*/ 923018 w 5538108"/>
            <a:gd name="connsiteY8" fmla="*/ 1442357 h 2317482"/>
            <a:gd name="connsiteX9" fmla="*/ 0 w 5538108"/>
            <a:gd name="connsiteY9" fmla="*/ 1442357 h 2317482"/>
            <a:gd name="connsiteX10" fmla="*/ 0 w 5538108"/>
            <a:gd name="connsiteY10" fmla="*/ 1201964 h 2317482"/>
            <a:gd name="connsiteX11" fmla="*/ 0 w 5538108"/>
            <a:gd name="connsiteY11" fmla="*/ 841375 h 2317482"/>
            <a:gd name="connsiteX12" fmla="*/ 0 w 5538108"/>
            <a:gd name="connsiteY12" fmla="*/ 841375 h 2317482"/>
            <a:gd name="connsiteX13" fmla="*/ 0 w 5538108"/>
            <a:gd name="connsiteY13" fmla="*/ 0 h 2317482"/>
            <a:gd name="connsiteX0" fmla="*/ 0 w 5538108"/>
            <a:gd name="connsiteY0" fmla="*/ 0 h 2139214"/>
            <a:gd name="connsiteX1" fmla="*/ 5538108 w 5538108"/>
            <a:gd name="connsiteY1" fmla="*/ 0 h 2139214"/>
            <a:gd name="connsiteX2" fmla="*/ 5538108 w 5538108"/>
            <a:gd name="connsiteY2" fmla="*/ 841375 h 2139214"/>
            <a:gd name="connsiteX3" fmla="*/ 5538108 w 5538108"/>
            <a:gd name="connsiteY3" fmla="*/ 841375 h 2139214"/>
            <a:gd name="connsiteX4" fmla="*/ 5538108 w 5538108"/>
            <a:gd name="connsiteY4" fmla="*/ 1201964 h 2139214"/>
            <a:gd name="connsiteX5" fmla="*/ 5538108 w 5538108"/>
            <a:gd name="connsiteY5" fmla="*/ 1442357 h 2139214"/>
            <a:gd name="connsiteX6" fmla="*/ 1350593 w 5538108"/>
            <a:gd name="connsiteY6" fmla="*/ 1420074 h 2139214"/>
            <a:gd name="connsiteX7" fmla="*/ 1926807 w 5538108"/>
            <a:gd name="connsiteY7" fmla="*/ 2139214 h 2139214"/>
            <a:gd name="connsiteX8" fmla="*/ 923018 w 5538108"/>
            <a:gd name="connsiteY8" fmla="*/ 1442357 h 2139214"/>
            <a:gd name="connsiteX9" fmla="*/ 0 w 5538108"/>
            <a:gd name="connsiteY9" fmla="*/ 1442357 h 2139214"/>
            <a:gd name="connsiteX10" fmla="*/ 0 w 5538108"/>
            <a:gd name="connsiteY10" fmla="*/ 1201964 h 2139214"/>
            <a:gd name="connsiteX11" fmla="*/ 0 w 5538108"/>
            <a:gd name="connsiteY11" fmla="*/ 841375 h 2139214"/>
            <a:gd name="connsiteX12" fmla="*/ 0 w 5538108"/>
            <a:gd name="connsiteY12" fmla="*/ 841375 h 2139214"/>
            <a:gd name="connsiteX13" fmla="*/ 0 w 5538108"/>
            <a:gd name="connsiteY13" fmla="*/ 0 h 2139214"/>
            <a:gd name="connsiteX0" fmla="*/ 0 w 5538108"/>
            <a:gd name="connsiteY0" fmla="*/ 0 h 2139214"/>
            <a:gd name="connsiteX1" fmla="*/ 5538108 w 5538108"/>
            <a:gd name="connsiteY1" fmla="*/ 0 h 2139214"/>
            <a:gd name="connsiteX2" fmla="*/ 5538108 w 5538108"/>
            <a:gd name="connsiteY2" fmla="*/ 841375 h 2139214"/>
            <a:gd name="connsiteX3" fmla="*/ 5538108 w 5538108"/>
            <a:gd name="connsiteY3" fmla="*/ 1201964 h 2139214"/>
            <a:gd name="connsiteX4" fmla="*/ 5538108 w 5538108"/>
            <a:gd name="connsiteY4" fmla="*/ 1442357 h 2139214"/>
            <a:gd name="connsiteX5" fmla="*/ 1350593 w 5538108"/>
            <a:gd name="connsiteY5" fmla="*/ 1420074 h 2139214"/>
            <a:gd name="connsiteX6" fmla="*/ 1926807 w 5538108"/>
            <a:gd name="connsiteY6" fmla="*/ 2139214 h 2139214"/>
            <a:gd name="connsiteX7" fmla="*/ 923018 w 5538108"/>
            <a:gd name="connsiteY7" fmla="*/ 1442357 h 2139214"/>
            <a:gd name="connsiteX8" fmla="*/ 0 w 5538108"/>
            <a:gd name="connsiteY8" fmla="*/ 1442357 h 2139214"/>
            <a:gd name="connsiteX9" fmla="*/ 0 w 5538108"/>
            <a:gd name="connsiteY9" fmla="*/ 1201964 h 2139214"/>
            <a:gd name="connsiteX10" fmla="*/ 0 w 5538108"/>
            <a:gd name="connsiteY10" fmla="*/ 841375 h 2139214"/>
            <a:gd name="connsiteX11" fmla="*/ 0 w 5538108"/>
            <a:gd name="connsiteY11" fmla="*/ 841375 h 2139214"/>
            <a:gd name="connsiteX12" fmla="*/ 0 w 5538108"/>
            <a:gd name="connsiteY12" fmla="*/ 0 h 2139214"/>
            <a:gd name="connsiteX0" fmla="*/ 0 w 5538108"/>
            <a:gd name="connsiteY0" fmla="*/ 0 h 1929487"/>
            <a:gd name="connsiteX1" fmla="*/ 5538108 w 5538108"/>
            <a:gd name="connsiteY1" fmla="*/ 0 h 1929487"/>
            <a:gd name="connsiteX2" fmla="*/ 5538108 w 5538108"/>
            <a:gd name="connsiteY2" fmla="*/ 841375 h 1929487"/>
            <a:gd name="connsiteX3" fmla="*/ 5538108 w 5538108"/>
            <a:gd name="connsiteY3" fmla="*/ 1201964 h 1929487"/>
            <a:gd name="connsiteX4" fmla="*/ 5538108 w 5538108"/>
            <a:gd name="connsiteY4" fmla="*/ 1442357 h 1929487"/>
            <a:gd name="connsiteX5" fmla="*/ 1350593 w 5538108"/>
            <a:gd name="connsiteY5" fmla="*/ 1420074 h 1929487"/>
            <a:gd name="connsiteX6" fmla="*/ 58120 w 5538108"/>
            <a:gd name="connsiteY6" fmla="*/ 1929487 h 1929487"/>
            <a:gd name="connsiteX7" fmla="*/ 923018 w 5538108"/>
            <a:gd name="connsiteY7" fmla="*/ 1442357 h 1929487"/>
            <a:gd name="connsiteX8" fmla="*/ 0 w 5538108"/>
            <a:gd name="connsiteY8" fmla="*/ 1442357 h 1929487"/>
            <a:gd name="connsiteX9" fmla="*/ 0 w 5538108"/>
            <a:gd name="connsiteY9" fmla="*/ 1201964 h 1929487"/>
            <a:gd name="connsiteX10" fmla="*/ 0 w 5538108"/>
            <a:gd name="connsiteY10" fmla="*/ 841375 h 1929487"/>
            <a:gd name="connsiteX11" fmla="*/ 0 w 5538108"/>
            <a:gd name="connsiteY11" fmla="*/ 841375 h 1929487"/>
            <a:gd name="connsiteX12" fmla="*/ 0 w 5538108"/>
            <a:gd name="connsiteY12" fmla="*/ 0 h 1929487"/>
            <a:gd name="connsiteX0" fmla="*/ 0 w 5538108"/>
            <a:gd name="connsiteY0" fmla="*/ 0 h 1681931"/>
            <a:gd name="connsiteX1" fmla="*/ 5538108 w 5538108"/>
            <a:gd name="connsiteY1" fmla="*/ 0 h 1681931"/>
            <a:gd name="connsiteX2" fmla="*/ 5538108 w 5538108"/>
            <a:gd name="connsiteY2" fmla="*/ 841375 h 1681931"/>
            <a:gd name="connsiteX3" fmla="*/ 5538108 w 5538108"/>
            <a:gd name="connsiteY3" fmla="*/ 1201964 h 1681931"/>
            <a:gd name="connsiteX4" fmla="*/ 5538108 w 5538108"/>
            <a:gd name="connsiteY4" fmla="*/ 1442357 h 1681931"/>
            <a:gd name="connsiteX5" fmla="*/ 1350593 w 5538108"/>
            <a:gd name="connsiteY5" fmla="*/ 1420074 h 1681931"/>
            <a:gd name="connsiteX6" fmla="*/ 175498 w 5538108"/>
            <a:gd name="connsiteY6" fmla="*/ 1681931 h 1681931"/>
            <a:gd name="connsiteX7" fmla="*/ 923018 w 5538108"/>
            <a:gd name="connsiteY7" fmla="*/ 1442357 h 1681931"/>
            <a:gd name="connsiteX8" fmla="*/ 0 w 5538108"/>
            <a:gd name="connsiteY8" fmla="*/ 1442357 h 1681931"/>
            <a:gd name="connsiteX9" fmla="*/ 0 w 5538108"/>
            <a:gd name="connsiteY9" fmla="*/ 1201964 h 1681931"/>
            <a:gd name="connsiteX10" fmla="*/ 0 w 5538108"/>
            <a:gd name="connsiteY10" fmla="*/ 841375 h 1681931"/>
            <a:gd name="connsiteX11" fmla="*/ 0 w 5538108"/>
            <a:gd name="connsiteY11" fmla="*/ 841375 h 1681931"/>
            <a:gd name="connsiteX12" fmla="*/ 0 w 5538108"/>
            <a:gd name="connsiteY12" fmla="*/ 0 h 1681931"/>
            <a:gd name="connsiteX0" fmla="*/ 0 w 5538108"/>
            <a:gd name="connsiteY0" fmla="*/ 7281 h 1689212"/>
            <a:gd name="connsiteX1" fmla="*/ 714940 w 5538108"/>
            <a:gd name="connsiteY1" fmla="*/ 0 h 1689212"/>
            <a:gd name="connsiteX2" fmla="*/ 5538108 w 5538108"/>
            <a:gd name="connsiteY2" fmla="*/ 7281 h 1689212"/>
            <a:gd name="connsiteX3" fmla="*/ 5538108 w 5538108"/>
            <a:gd name="connsiteY3" fmla="*/ 848656 h 1689212"/>
            <a:gd name="connsiteX4" fmla="*/ 5538108 w 5538108"/>
            <a:gd name="connsiteY4" fmla="*/ 1209245 h 1689212"/>
            <a:gd name="connsiteX5" fmla="*/ 5538108 w 5538108"/>
            <a:gd name="connsiteY5" fmla="*/ 1449638 h 1689212"/>
            <a:gd name="connsiteX6" fmla="*/ 1350593 w 5538108"/>
            <a:gd name="connsiteY6" fmla="*/ 1427355 h 1689212"/>
            <a:gd name="connsiteX7" fmla="*/ 175498 w 5538108"/>
            <a:gd name="connsiteY7" fmla="*/ 1689212 h 1689212"/>
            <a:gd name="connsiteX8" fmla="*/ 923018 w 5538108"/>
            <a:gd name="connsiteY8" fmla="*/ 1449638 h 1689212"/>
            <a:gd name="connsiteX9" fmla="*/ 0 w 5538108"/>
            <a:gd name="connsiteY9" fmla="*/ 1449638 h 1689212"/>
            <a:gd name="connsiteX10" fmla="*/ 0 w 5538108"/>
            <a:gd name="connsiteY10" fmla="*/ 1209245 h 1689212"/>
            <a:gd name="connsiteX11" fmla="*/ 0 w 5538108"/>
            <a:gd name="connsiteY11" fmla="*/ 848656 h 1689212"/>
            <a:gd name="connsiteX12" fmla="*/ 0 w 5538108"/>
            <a:gd name="connsiteY12" fmla="*/ 848656 h 1689212"/>
            <a:gd name="connsiteX13" fmla="*/ 0 w 5538108"/>
            <a:gd name="connsiteY13" fmla="*/ 7281 h 16892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1689212">
              <a:moveTo>
                <a:pt x="0" y="7281"/>
              </a:moveTo>
              <a:lnTo>
                <a:pt x="714940" y="0"/>
              </a:lnTo>
              <a:lnTo>
                <a:pt x="5538108" y="7281"/>
              </a:lnTo>
              <a:lnTo>
                <a:pt x="5538108" y="848656"/>
              </a:lnTo>
              <a:lnTo>
                <a:pt x="5538108" y="1209245"/>
              </a:lnTo>
              <a:lnTo>
                <a:pt x="5538108" y="1449638"/>
              </a:lnTo>
              <a:lnTo>
                <a:pt x="1350593" y="1427355"/>
              </a:lnTo>
              <a:lnTo>
                <a:pt x="175498" y="1689212"/>
              </a:lnTo>
              <a:lnTo>
                <a:pt x="923018" y="1449638"/>
              </a:lnTo>
              <a:lnTo>
                <a:pt x="0" y="1449638"/>
              </a:lnTo>
              <a:lnTo>
                <a:pt x="0" y="1209245"/>
              </a:lnTo>
              <a:lnTo>
                <a:pt x="0" y="848656"/>
              </a:lnTo>
              <a:lnTo>
                <a:pt x="0" y="848656"/>
              </a:lnTo>
              <a:lnTo>
                <a:pt x="0" y="7281"/>
              </a:lnTo>
              <a:close/>
            </a:path>
          </a:pathLst>
        </a:cu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a:t>
          </a:r>
          <a:r>
            <a:rPr lang="es-ES" sz="1400" b="1" i="0" baseline="0">
              <a:effectLst/>
              <a:latin typeface="Arial" pitchFamily="34" charset="0"/>
              <a:ea typeface="+mn-ea"/>
              <a:cs typeface="Arial" pitchFamily="34" charset="0"/>
            </a:rPr>
            <a:t>esquema Dupont </a:t>
          </a:r>
          <a:r>
            <a:rPr lang="es-ES" sz="1400" b="0" i="0" baseline="0">
              <a:effectLst/>
              <a:latin typeface="Arial" pitchFamily="34" charset="0"/>
              <a:ea typeface="+mn-ea"/>
              <a:cs typeface="Arial" pitchFamily="34" charset="0"/>
            </a:rPr>
            <a:t>muestra la descomposición de la rentabilidad en su dos componentes: rotación y margen.  </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Rentabilidad = Bº/Activo = Ventas/activo * Bº/Ventas =  Margen * Rotación</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Dos empresas muy diferentes pueden tener la misma rentabilidad.</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 Por ejemplo un restaurante de comida rápida presenta mucha rotación en las mesas pero con poco margen</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 Y un restaurante de lujo tiene poca rotación pero el margen es elevado</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En el ejemplo analizado nuestra empresa tiene más rotación y menos margen que el sector</a:t>
          </a:r>
        </a:p>
      </xdr:txBody>
    </xdr:sp>
    <xdr:clientData/>
  </xdr:twoCellAnchor>
  <xdr:twoCellAnchor>
    <xdr:from>
      <xdr:col>2</xdr:col>
      <xdr:colOff>0</xdr:colOff>
      <xdr:row>769</xdr:row>
      <xdr:rowOff>1</xdr:rowOff>
    </xdr:from>
    <xdr:to>
      <xdr:col>10</xdr:col>
      <xdr:colOff>585107</xdr:colOff>
      <xdr:row>772</xdr:row>
      <xdr:rowOff>190500</xdr:rowOff>
    </xdr:to>
    <xdr:sp macro="" textlink="">
      <xdr:nvSpPr>
        <xdr:cNvPr id="61" name="AutoShape 65"/>
        <xdr:cNvSpPr>
          <a:spLocks noChangeArrowheads="1"/>
        </xdr:cNvSpPr>
      </xdr:nvSpPr>
      <xdr:spPr bwMode="auto">
        <a:xfrm>
          <a:off x="285750" y="124777501"/>
          <a:ext cx="10273393" cy="802820"/>
        </a:xfrm>
        <a:prstGeom prst="wedgeRectCallout">
          <a:avLst>
            <a:gd name="adj1" fmla="val -9191"/>
            <a:gd name="adj2" fmla="val 96084"/>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estudio de la liquidez de la empresa trata de comprobar la capacidad de la empresa para hacer frente a pagos y deudas a corto plazo, vigilando el nivel de tesorería y el flujo de cobros y pagos. El ratio de liquidez inmediata se obtiene dividiendo el efectivo entre el pasivo corriente. Tampoco conviene que sea alto pues significa mala gestión de los excedentes de la tesorería. </a:t>
          </a:r>
          <a:endParaRPr lang="es-ES" sz="1000" b="0">
            <a:effectLst/>
          </a:endParaRPr>
        </a:p>
      </xdr:txBody>
    </xdr:sp>
    <xdr:clientData/>
  </xdr:twoCellAnchor>
  <xdr:twoCellAnchor>
    <xdr:from>
      <xdr:col>2</xdr:col>
      <xdr:colOff>40821</xdr:colOff>
      <xdr:row>544</xdr:row>
      <xdr:rowOff>138545</xdr:rowOff>
    </xdr:from>
    <xdr:to>
      <xdr:col>10</xdr:col>
      <xdr:colOff>900545</xdr:colOff>
      <xdr:row>549</xdr:row>
      <xdr:rowOff>108857</xdr:rowOff>
    </xdr:to>
    <xdr:sp macro="" textlink="">
      <xdr:nvSpPr>
        <xdr:cNvPr id="62" name="AutoShape 65"/>
        <xdr:cNvSpPr>
          <a:spLocks noChangeArrowheads="1"/>
        </xdr:cNvSpPr>
      </xdr:nvSpPr>
      <xdr:spPr bwMode="auto">
        <a:xfrm>
          <a:off x="335230" y="73862045"/>
          <a:ext cx="10540588" cy="1009403"/>
        </a:xfrm>
        <a:prstGeom prst="wedgeRectCallout">
          <a:avLst>
            <a:gd name="adj1" fmla="val -11178"/>
            <a:gd name="adj2" fmla="val 9019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solvencia es la capacidad financiera de la empresa para cumplir sus obligaciones de vencimiento a corto plazo. Una forma de medirla es mediante el estudio del Fondo de Maniobra, que es el activo circulante menos el pasivo circulante. Es decir, lo que tenemos en el activo más líquido (tesorería, existencias...) menos las deudas a corto plazo. Se espera que sea positivo.</a:t>
          </a:r>
          <a:endParaRPr lang="es-ES" sz="1000" b="0">
            <a:effectLst/>
          </a:endParaRPr>
        </a:p>
      </xdr:txBody>
    </xdr:sp>
    <xdr:clientData/>
  </xdr:twoCellAnchor>
  <xdr:twoCellAnchor>
    <xdr:from>
      <xdr:col>2</xdr:col>
      <xdr:colOff>0</xdr:colOff>
      <xdr:row>579</xdr:row>
      <xdr:rowOff>176892</xdr:rowOff>
    </xdr:from>
    <xdr:to>
      <xdr:col>10</xdr:col>
      <xdr:colOff>353785</xdr:colOff>
      <xdr:row>582</xdr:row>
      <xdr:rowOff>190500</xdr:rowOff>
    </xdr:to>
    <xdr:sp macro="" textlink="">
      <xdr:nvSpPr>
        <xdr:cNvPr id="63" name="AutoShape 65"/>
        <xdr:cNvSpPr>
          <a:spLocks noChangeArrowheads="1"/>
        </xdr:cNvSpPr>
      </xdr:nvSpPr>
      <xdr:spPr bwMode="auto">
        <a:xfrm>
          <a:off x="285750" y="82214356"/>
          <a:ext cx="10042071" cy="625930"/>
        </a:xfrm>
        <a:prstGeom prst="wedgeRectCallout">
          <a:avLst>
            <a:gd name="adj1" fmla="val -11178"/>
            <a:gd name="adj2" fmla="val 9019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Otra forma de estudiarlo es calculando el ratio de solvencia estricta, que se obtiene al dividir el Activo Corriente entre el Pasivo Corriente. Si este ratio es mayor que 1 el Fondo de Maniobra es positivo.</a:t>
          </a:r>
          <a:endParaRPr lang="es-ES" sz="1000" b="0">
            <a:effectLst/>
          </a:endParaRPr>
        </a:p>
      </xdr:txBody>
    </xdr:sp>
    <xdr:clientData/>
  </xdr:twoCellAnchor>
  <xdr:twoCellAnchor>
    <xdr:from>
      <xdr:col>2</xdr:col>
      <xdr:colOff>67235</xdr:colOff>
      <xdr:row>606</xdr:row>
      <xdr:rowOff>78441</xdr:rowOff>
    </xdr:from>
    <xdr:to>
      <xdr:col>10</xdr:col>
      <xdr:colOff>926959</xdr:colOff>
      <xdr:row>610</xdr:row>
      <xdr:rowOff>134471</xdr:rowOff>
    </xdr:to>
    <xdr:sp macro="" textlink="">
      <xdr:nvSpPr>
        <xdr:cNvPr id="64" name="AutoShape 65"/>
        <xdr:cNvSpPr>
          <a:spLocks noChangeArrowheads="1"/>
        </xdr:cNvSpPr>
      </xdr:nvSpPr>
      <xdr:spPr bwMode="auto">
        <a:xfrm>
          <a:off x="358588" y="84963000"/>
          <a:ext cx="10552812" cy="862853"/>
        </a:xfrm>
        <a:prstGeom prst="wedgeRectCallout">
          <a:avLst>
            <a:gd name="adj1" fmla="val -11178"/>
            <a:gd name="adj2" fmla="val 9019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Mediante el estudio del endeudamiento tratamos de valorar la capacidad de la empresa para cumplir sus obligaciones a largo plazo.  En general se estudia con ratios financieros que relacionan las deudas que tiene la empresa con respecto al patrimonio neto.  En el ejemplo analizado se observa que el valor del ratio ha disminuido mucho, situándose al nivel del sector.</a:t>
          </a:r>
          <a:endParaRPr lang="es-ES" sz="1000" b="0">
            <a:effectLst/>
          </a:endParaRPr>
        </a:p>
      </xdr:txBody>
    </xdr:sp>
    <xdr:clientData/>
  </xdr:twoCellAnchor>
  <xdr:twoCellAnchor>
    <xdr:from>
      <xdr:col>1</xdr:col>
      <xdr:colOff>134471</xdr:colOff>
      <xdr:row>631</xdr:row>
      <xdr:rowOff>112059</xdr:rowOff>
    </xdr:from>
    <xdr:to>
      <xdr:col>10</xdr:col>
      <xdr:colOff>526677</xdr:colOff>
      <xdr:row>635</xdr:row>
      <xdr:rowOff>44823</xdr:rowOff>
    </xdr:to>
    <xdr:sp macro="" textlink="">
      <xdr:nvSpPr>
        <xdr:cNvPr id="65" name="AutoShape 65"/>
        <xdr:cNvSpPr>
          <a:spLocks noChangeArrowheads="1"/>
        </xdr:cNvSpPr>
      </xdr:nvSpPr>
      <xdr:spPr bwMode="auto">
        <a:xfrm>
          <a:off x="246530" y="89949618"/>
          <a:ext cx="10264588" cy="694764"/>
        </a:xfrm>
        <a:prstGeom prst="wedgeRectCallout">
          <a:avLst>
            <a:gd name="adj1" fmla="val -11178"/>
            <a:gd name="adj2" fmla="val 9019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ratio de cobertura de gastos financieros es utilizado por los bancos como indicador de si la empresa es merecedora de crédito. Relaciona los gastos financieros con el beneficio, de forma que aunque disminuya el beneficio pueda hacer frente a los intereses</a:t>
          </a:r>
          <a:endParaRPr lang="es-ES" sz="1000" b="0">
            <a:effectLst/>
          </a:endParaRPr>
        </a:p>
      </xdr:txBody>
    </xdr:sp>
    <xdr:clientData/>
  </xdr:twoCellAnchor>
  <xdr:twoCellAnchor>
    <xdr:from>
      <xdr:col>2</xdr:col>
      <xdr:colOff>54428</xdr:colOff>
      <xdr:row>656</xdr:row>
      <xdr:rowOff>40822</xdr:rowOff>
    </xdr:from>
    <xdr:to>
      <xdr:col>10</xdr:col>
      <xdr:colOff>623527</xdr:colOff>
      <xdr:row>659</xdr:row>
      <xdr:rowOff>164086</xdr:rowOff>
    </xdr:to>
    <xdr:sp macro="" textlink="">
      <xdr:nvSpPr>
        <xdr:cNvPr id="67" name="AutoShape 65"/>
        <xdr:cNvSpPr>
          <a:spLocks noChangeArrowheads="1"/>
        </xdr:cNvSpPr>
      </xdr:nvSpPr>
      <xdr:spPr bwMode="auto">
        <a:xfrm>
          <a:off x="340178" y="101781429"/>
          <a:ext cx="10257385" cy="694764"/>
        </a:xfrm>
        <a:prstGeom prst="wedgeRectCallout">
          <a:avLst>
            <a:gd name="adj1" fmla="val -11178"/>
            <a:gd name="adj2" fmla="val 9019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ratio de garantía es el cociente entre el activo total de una empresa y sus deudas totales. Permite acreditar la garantía que la empresa ofrece a sus deudores para hacer frente a sus obligaciones de pago. En caso de liquidación de la empresa los activos pueden convertirse en dinero para hacer frente a las deudas, de ahí el nombre "garantía".</a:t>
          </a:r>
          <a:endParaRPr lang="es-ES" sz="1000" b="0">
            <a:effectLst/>
          </a:endParaRPr>
        </a:p>
      </xdr:txBody>
    </xdr:sp>
    <xdr:clientData/>
  </xdr:twoCellAnchor>
  <xdr:twoCellAnchor>
    <xdr:from>
      <xdr:col>2</xdr:col>
      <xdr:colOff>0</xdr:colOff>
      <xdr:row>680</xdr:row>
      <xdr:rowOff>0</xdr:rowOff>
    </xdr:from>
    <xdr:to>
      <xdr:col>10</xdr:col>
      <xdr:colOff>569099</xdr:colOff>
      <xdr:row>683</xdr:row>
      <xdr:rowOff>123264</xdr:rowOff>
    </xdr:to>
    <xdr:sp macro="" textlink="">
      <xdr:nvSpPr>
        <xdr:cNvPr id="68" name="AutoShape 65"/>
        <xdr:cNvSpPr>
          <a:spLocks noChangeArrowheads="1"/>
        </xdr:cNvSpPr>
      </xdr:nvSpPr>
      <xdr:spPr bwMode="auto">
        <a:xfrm>
          <a:off x="285750" y="106421464"/>
          <a:ext cx="10257385" cy="694764"/>
        </a:xfrm>
        <a:prstGeom prst="wedgeRectCallout">
          <a:avLst>
            <a:gd name="adj1" fmla="val -11178"/>
            <a:gd name="adj2" fmla="val 9019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ratio gastos financieros sobre ventas mide la participación relativa de los gastos financieros en la cifra de ventas. Valores por encima del 5% se consideran preocupantes.</a:t>
          </a:r>
          <a:endParaRPr lang="es-ES" sz="1000" b="0">
            <a:effectLst/>
          </a:endParaRPr>
        </a:p>
      </xdr:txBody>
    </xdr:sp>
    <xdr:clientData/>
  </xdr:twoCellAnchor>
  <xdr:twoCellAnchor>
    <xdr:from>
      <xdr:col>2</xdr:col>
      <xdr:colOff>40822</xdr:colOff>
      <xdr:row>707</xdr:row>
      <xdr:rowOff>95250</xdr:rowOff>
    </xdr:from>
    <xdr:to>
      <xdr:col>17</xdr:col>
      <xdr:colOff>367393</xdr:colOff>
      <xdr:row>716</xdr:row>
      <xdr:rowOff>136072</xdr:rowOff>
    </xdr:to>
    <xdr:sp macro="" textlink="">
      <xdr:nvSpPr>
        <xdr:cNvPr id="69" name="AutoShape 65"/>
        <xdr:cNvSpPr>
          <a:spLocks noChangeArrowheads="1"/>
        </xdr:cNvSpPr>
      </xdr:nvSpPr>
      <xdr:spPr bwMode="auto">
        <a:xfrm>
          <a:off x="326572" y="112068429"/>
          <a:ext cx="16274142" cy="1877786"/>
        </a:xfrm>
        <a:prstGeom prst="wedgeRectCallout">
          <a:avLst>
            <a:gd name="adj1" fmla="val -9984"/>
            <a:gd name="adj2" fmla="val 66988"/>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Periodo Medio de Maduración (PMM) es el tiempo desde que invierte una unidad monetaria en la compra de factores hasta que es convertida en liquidez a través de su cobro por la venta del producto. El objetivo es que el ciclo sea lo más corto posible, reduciendo el tiempo que las existencias están en almacén, acortando el periodo de cobro a los proveedores. Se componen de:</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1.- Periodo medio de almacenamiento de materias primas: tiempo que transcurre desde que las materias primas son compradas hasta que se introducen en el proceso productivo.</a:t>
          </a:r>
        </a:p>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2.- Periodo medio de fabricación: periodo desde que las materias primas se incorporan al proceso productivo hasta que salen del mismo convertidas en producto terminado.</a:t>
          </a:r>
        </a:p>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3.- Periodo medio de venta de productos terminados: desde que el producto terminado sale del proceso productivo hasta que es vendido.</a:t>
          </a:r>
        </a:p>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4.- Periodo medio de cobro a clientes: tiempo que tarda la empresa en término medio en cobrar de sus clientes.</a:t>
          </a:r>
        </a:p>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5.- Periodo medio de pago a proveedores: tiempo que tarda la empresa enr término medio en pagar a sus proveedores. Este término va restando en el cálculo del PMM ya que cuanto más tardemos mejor</a:t>
          </a:r>
          <a:r>
            <a:rPr lang="es-ES" sz="1200" b="0">
              <a:effectLst/>
              <a:latin typeface="Arial" pitchFamily="34" charset="0"/>
              <a:cs typeface="Arial" pitchFamily="34" charset="0"/>
            </a:rPr>
            <a:t>.</a:t>
          </a:r>
        </a:p>
      </xdr:txBody>
    </xdr:sp>
    <xdr:clientData/>
  </xdr:twoCellAnchor>
  <xdr:twoCellAnchor>
    <xdr:from>
      <xdr:col>2</xdr:col>
      <xdr:colOff>13607</xdr:colOff>
      <xdr:row>742</xdr:row>
      <xdr:rowOff>95250</xdr:rowOff>
    </xdr:from>
    <xdr:to>
      <xdr:col>8</xdr:col>
      <xdr:colOff>557892</xdr:colOff>
      <xdr:row>748</xdr:row>
      <xdr:rowOff>95250</xdr:rowOff>
    </xdr:to>
    <xdr:sp macro="" textlink="">
      <xdr:nvSpPr>
        <xdr:cNvPr id="70" name="AutoShape 65"/>
        <xdr:cNvSpPr>
          <a:spLocks noChangeArrowheads="1"/>
        </xdr:cNvSpPr>
      </xdr:nvSpPr>
      <xdr:spPr bwMode="auto">
        <a:xfrm>
          <a:off x="299357" y="120273536"/>
          <a:ext cx="8409214" cy="1224643"/>
        </a:xfrm>
        <a:prstGeom prst="wedgeRectCallout">
          <a:avLst>
            <a:gd name="adj1" fmla="val -9984"/>
            <a:gd name="adj2" fmla="val 66988"/>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manera de representar gráficamente el periodo medio de maduración es mediante un Diagrama de Gantt. Esta herramienta gráfica permite visualizar el tiempo total de una secuencia de actividades,y lo podemos aplicar a visualizar los diferentes periodos medios. Es un diagrama de barra apilada en el que se incluye una serie sin relleno ni borde para conseguir el efecto deseado. Nótese como hay que indicar correctamente el origen de cada barra, mediante la columna "duración".</a:t>
          </a:r>
        </a:p>
      </xdr:txBody>
    </xdr:sp>
    <xdr:clientData/>
  </xdr:twoCellAnchor>
  <xdr:twoCellAnchor>
    <xdr:from>
      <xdr:col>2</xdr:col>
      <xdr:colOff>1768927</xdr:colOff>
      <xdr:row>781</xdr:row>
      <xdr:rowOff>40820</xdr:rowOff>
    </xdr:from>
    <xdr:to>
      <xdr:col>6</xdr:col>
      <xdr:colOff>530679</xdr:colOff>
      <xdr:row>791</xdr:row>
      <xdr:rowOff>68033</xdr:rowOff>
    </xdr:to>
    <xdr:graphicFrame macro="">
      <xdr:nvGraphicFramePr>
        <xdr:cNvPr id="71" name="7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0</xdr:colOff>
      <xdr:row>830</xdr:row>
      <xdr:rowOff>13608</xdr:rowOff>
    </xdr:from>
    <xdr:to>
      <xdr:col>9</xdr:col>
      <xdr:colOff>680357</xdr:colOff>
      <xdr:row>835</xdr:row>
      <xdr:rowOff>122466</xdr:rowOff>
    </xdr:to>
    <xdr:sp macro="" textlink="">
      <xdr:nvSpPr>
        <xdr:cNvPr id="96" name="AutoShape 65"/>
        <xdr:cNvSpPr>
          <a:spLocks noChangeArrowheads="1"/>
        </xdr:cNvSpPr>
      </xdr:nvSpPr>
      <xdr:spPr bwMode="auto">
        <a:xfrm>
          <a:off x="285750" y="212257822"/>
          <a:ext cx="9456964" cy="1061358"/>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Los recursos humanos engloban el equipo directivo, la plantilla y la forma en que se gestionan las relaciones entre ellos y dentro de ellos como políticas de remuneración o ambiente laboral. Especialmente importantes son los indicadores de productividad.</a:t>
          </a:r>
        </a:p>
      </xdr:txBody>
    </xdr:sp>
    <xdr:clientData/>
  </xdr:twoCellAnchor>
  <xdr:twoCellAnchor>
    <xdr:from>
      <xdr:col>2</xdr:col>
      <xdr:colOff>0</xdr:colOff>
      <xdr:row>839</xdr:row>
      <xdr:rowOff>0</xdr:rowOff>
    </xdr:from>
    <xdr:to>
      <xdr:col>5</xdr:col>
      <xdr:colOff>340178</xdr:colOff>
      <xdr:row>843</xdr:row>
      <xdr:rowOff>0</xdr:rowOff>
    </xdr:to>
    <xdr:sp macro="" textlink="">
      <xdr:nvSpPr>
        <xdr:cNvPr id="97" name="AutoShape 65"/>
        <xdr:cNvSpPr>
          <a:spLocks noChangeArrowheads="1"/>
        </xdr:cNvSpPr>
      </xdr:nvSpPr>
      <xdr:spPr bwMode="auto">
        <a:xfrm>
          <a:off x="285750" y="214067571"/>
          <a:ext cx="5442857" cy="898072"/>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Indicadores sobre el tipo de trabajador, la adscripción a diferentes departamentos y la formación de los empleados</a:t>
          </a:r>
        </a:p>
      </xdr:txBody>
    </xdr:sp>
    <xdr:clientData/>
  </xdr:twoCellAnchor>
  <xdr:twoCellAnchor>
    <xdr:from>
      <xdr:col>2</xdr:col>
      <xdr:colOff>0</xdr:colOff>
      <xdr:row>867</xdr:row>
      <xdr:rowOff>0</xdr:rowOff>
    </xdr:from>
    <xdr:to>
      <xdr:col>5</xdr:col>
      <xdr:colOff>340178</xdr:colOff>
      <xdr:row>871</xdr:row>
      <xdr:rowOff>0</xdr:rowOff>
    </xdr:to>
    <xdr:sp macro="" textlink="">
      <xdr:nvSpPr>
        <xdr:cNvPr id="100" name="AutoShape 65"/>
        <xdr:cNvSpPr>
          <a:spLocks noChangeArrowheads="1"/>
        </xdr:cNvSpPr>
      </xdr:nvSpPr>
      <xdr:spPr bwMode="auto">
        <a:xfrm>
          <a:off x="285750" y="224926071"/>
          <a:ext cx="5442857" cy="81642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coste medio por trabajador son los gastos de personal dividido por el número de trabajadores</a:t>
          </a:r>
        </a:p>
      </xdr:txBody>
    </xdr:sp>
    <xdr:clientData/>
  </xdr:twoCellAnchor>
  <xdr:twoCellAnchor>
    <xdr:from>
      <xdr:col>2</xdr:col>
      <xdr:colOff>0</xdr:colOff>
      <xdr:row>877</xdr:row>
      <xdr:rowOff>0</xdr:rowOff>
    </xdr:from>
    <xdr:to>
      <xdr:col>5</xdr:col>
      <xdr:colOff>340178</xdr:colOff>
      <xdr:row>881</xdr:row>
      <xdr:rowOff>0</xdr:rowOff>
    </xdr:to>
    <xdr:sp macro="" textlink="">
      <xdr:nvSpPr>
        <xdr:cNvPr id="101" name="AutoShape 65"/>
        <xdr:cNvSpPr>
          <a:spLocks noChangeArrowheads="1"/>
        </xdr:cNvSpPr>
      </xdr:nvSpPr>
      <xdr:spPr bwMode="auto">
        <a:xfrm>
          <a:off x="285750" y="227007964"/>
          <a:ext cx="5442857" cy="81642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productividad de los empleados se mide con la cifra de ventas dividida entre el número de empleados</a:t>
          </a:r>
        </a:p>
      </xdr:txBody>
    </xdr:sp>
    <xdr:clientData/>
  </xdr:twoCellAnchor>
  <xdr:twoCellAnchor>
    <xdr:from>
      <xdr:col>2</xdr:col>
      <xdr:colOff>1619250</xdr:colOff>
      <xdr:row>902</xdr:row>
      <xdr:rowOff>176893</xdr:rowOff>
    </xdr:from>
    <xdr:to>
      <xdr:col>8</xdr:col>
      <xdr:colOff>258535</xdr:colOff>
      <xdr:row>917</xdr:row>
      <xdr:rowOff>38099</xdr:rowOff>
    </xdr:to>
    <xdr:graphicFrame macro="">
      <xdr:nvGraphicFramePr>
        <xdr:cNvPr id="108" name="10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81643</xdr:colOff>
      <xdr:row>918</xdr:row>
      <xdr:rowOff>95249</xdr:rowOff>
    </xdr:from>
    <xdr:to>
      <xdr:col>6</xdr:col>
      <xdr:colOff>449036</xdr:colOff>
      <xdr:row>924</xdr:row>
      <xdr:rowOff>40821</xdr:rowOff>
    </xdr:to>
    <xdr:sp macro="" textlink="">
      <xdr:nvSpPr>
        <xdr:cNvPr id="109" name="AutoShape 65"/>
        <xdr:cNvSpPr>
          <a:spLocks noChangeArrowheads="1"/>
        </xdr:cNvSpPr>
      </xdr:nvSpPr>
      <xdr:spPr bwMode="auto">
        <a:xfrm>
          <a:off x="367393" y="235757356"/>
          <a:ext cx="6381750" cy="1170215"/>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Algunas actividades periféricas a veces se externalizan a proveedores. Conviene llevar un control que permita identificar los ahorros o mayores costes en los que se incurre al externalizar y los riesgos en los que se incurre.</a:t>
          </a:r>
        </a:p>
      </xdr:txBody>
    </xdr:sp>
    <xdr:clientData/>
  </xdr:twoCellAnchor>
  <xdr:twoCellAnchor>
    <xdr:from>
      <xdr:col>2</xdr:col>
      <xdr:colOff>0</xdr:colOff>
      <xdr:row>943</xdr:row>
      <xdr:rowOff>0</xdr:rowOff>
    </xdr:from>
    <xdr:to>
      <xdr:col>9</xdr:col>
      <xdr:colOff>571500</xdr:colOff>
      <xdr:row>951</xdr:row>
      <xdr:rowOff>54429</xdr:rowOff>
    </xdr:to>
    <xdr:sp macro="" textlink="">
      <xdr:nvSpPr>
        <xdr:cNvPr id="112" name="AutoShape 65"/>
        <xdr:cNvSpPr>
          <a:spLocks noChangeArrowheads="1"/>
        </xdr:cNvSpPr>
      </xdr:nvSpPr>
      <xdr:spPr bwMode="auto">
        <a:xfrm>
          <a:off x="285750" y="247473107"/>
          <a:ext cx="9348107" cy="157842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empresa obtiene un valor añadido, que es el valor de la producción menos las compras y ortras adquisiciones. Ese valor añadido se reparte entre los empleados -por los sueldos y salarios- los dividendos a los accionistas, los bancos por los intereses, el Estado por los impuestos y la propia empresa por las reservas, amortizaciones y provisiones. Ese reparto del valor añadido es interesante visualizarlos como una tarta de la que cada uno se lleva una porción. Es interesante compararlo con el sector.</a:t>
          </a:r>
        </a:p>
      </xdr:txBody>
    </xdr:sp>
    <xdr:clientData/>
  </xdr:twoCellAnchor>
  <xdr:twoCellAnchor>
    <xdr:from>
      <xdr:col>2</xdr:col>
      <xdr:colOff>0</xdr:colOff>
      <xdr:row>994</xdr:row>
      <xdr:rowOff>0</xdr:rowOff>
    </xdr:from>
    <xdr:to>
      <xdr:col>6</xdr:col>
      <xdr:colOff>367393</xdr:colOff>
      <xdr:row>1000</xdr:row>
      <xdr:rowOff>27215</xdr:rowOff>
    </xdr:to>
    <xdr:sp macro="" textlink="">
      <xdr:nvSpPr>
        <xdr:cNvPr id="113" name="AutoShape 65"/>
        <xdr:cNvSpPr>
          <a:spLocks noChangeArrowheads="1"/>
        </xdr:cNvSpPr>
      </xdr:nvSpPr>
      <xdr:spPr bwMode="auto">
        <a:xfrm>
          <a:off x="285750" y="258032250"/>
          <a:ext cx="6381750" cy="1170215"/>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ambiente laboral se puede documentar con algunos indicadores como las sugerencias recibidas. También es interesante analizar la dispersión salarial o diferencia entre el salario más alto y el más bajo.</a:t>
          </a:r>
        </a:p>
      </xdr:txBody>
    </xdr:sp>
    <xdr:clientData/>
  </xdr:twoCellAnchor>
  <xdr:twoCellAnchor>
    <xdr:from>
      <xdr:col>2</xdr:col>
      <xdr:colOff>54428</xdr:colOff>
      <xdr:row>1006</xdr:row>
      <xdr:rowOff>54429</xdr:rowOff>
    </xdr:from>
    <xdr:to>
      <xdr:col>12</xdr:col>
      <xdr:colOff>707570</xdr:colOff>
      <xdr:row>1012</xdr:row>
      <xdr:rowOff>81644</xdr:rowOff>
    </xdr:to>
    <xdr:sp macro="" textlink="">
      <xdr:nvSpPr>
        <xdr:cNvPr id="115" name="AutoShape 65"/>
        <xdr:cNvSpPr>
          <a:spLocks noChangeArrowheads="1"/>
        </xdr:cNvSpPr>
      </xdr:nvSpPr>
      <xdr:spPr bwMode="auto">
        <a:xfrm>
          <a:off x="340178" y="263556750"/>
          <a:ext cx="12232821" cy="1170215"/>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Profundizando en la dispersión salarial se puede calcular la curva de Lorenz. Si los salarios se reparten de manera igualitaria, la curva coincidiría con la línea de 45 grados. Cuanto mayor es la dispersión la curva se aleja de los 45º. También se calcula el índice de Gini. Cuando todos los empleados reciben el mismo salario, el índice es 0. Y cuando un solo empleado gana todo es 0,75. Más información en http://www2.eco.uva.es/estadmed/datos/univariante/univar4.htm</a:t>
          </a:r>
        </a:p>
      </xdr:txBody>
    </xdr:sp>
    <xdr:clientData/>
  </xdr:twoCellAnchor>
  <xdr:twoCellAnchor>
    <xdr:from>
      <xdr:col>2</xdr:col>
      <xdr:colOff>108855</xdr:colOff>
      <xdr:row>797</xdr:row>
      <xdr:rowOff>168089</xdr:rowOff>
    </xdr:from>
    <xdr:to>
      <xdr:col>7</xdr:col>
      <xdr:colOff>616323</xdr:colOff>
      <xdr:row>816</xdr:row>
      <xdr:rowOff>27214</xdr:rowOff>
    </xdr:to>
    <xdr:sp macro="" textlink="">
      <xdr:nvSpPr>
        <xdr:cNvPr id="117" name="AutoShape 65"/>
        <xdr:cNvSpPr>
          <a:spLocks noChangeArrowheads="1"/>
        </xdr:cNvSpPr>
      </xdr:nvSpPr>
      <xdr:spPr bwMode="auto">
        <a:xfrm>
          <a:off x="400208" y="271697824"/>
          <a:ext cx="7443909" cy="3489831"/>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La matriz BGC desarrollada por la consultora Boston Consulting Group es un método gráfico para analizar los productos que una empresa.  Para construirla se toman los productos de la empresa, en relación con el sector o con un competidor. En el eje de las "x" se pone la cuota de mercado y en el eje de las "y" el crecimiento del sector. Es un gráfico de burbuja, cuya área es proporcional a las ventas de cada producto. Se obtienen 4 cuadrantes que se llaman:</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Productos estrella. Gran crecimiento y alta participación en el mercado. </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Productos vaca lechera. Poco crecimiento pero gran participación .</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Productos perro. Poco crecimiento y poca participación.</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Productos interrogante. Gran crecimiento y poca participación.</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xdr:txBody>
    </xdr:sp>
    <xdr:clientData/>
  </xdr:twoCellAnchor>
  <xdr:twoCellAnchor>
    <xdr:from>
      <xdr:col>2</xdr:col>
      <xdr:colOff>0</xdr:colOff>
      <xdr:row>1040</xdr:row>
      <xdr:rowOff>0</xdr:rowOff>
    </xdr:from>
    <xdr:to>
      <xdr:col>5</xdr:col>
      <xdr:colOff>639535</xdr:colOff>
      <xdr:row>1045</xdr:row>
      <xdr:rowOff>149678</xdr:rowOff>
    </xdr:to>
    <xdr:sp macro="" textlink="">
      <xdr:nvSpPr>
        <xdr:cNvPr id="126" name="AutoShape 65"/>
        <xdr:cNvSpPr>
          <a:spLocks noChangeArrowheads="1"/>
        </xdr:cNvSpPr>
      </xdr:nvSpPr>
      <xdr:spPr bwMode="auto">
        <a:xfrm>
          <a:off x="285750" y="301901679"/>
          <a:ext cx="5742214" cy="1102178"/>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A partir de las hipótesis sobre la evolución de las ventas y otras partidas  se calcula la rentabilidad medida por la actualización de los flujos de caja estimados y la tasa interna de retorno (TIR). </a:t>
          </a:r>
        </a:p>
      </xdr:txBody>
    </xdr:sp>
    <xdr:clientData/>
  </xdr:twoCellAnchor>
  <xdr:twoCellAnchor>
    <xdr:from>
      <xdr:col>2</xdr:col>
      <xdr:colOff>27214</xdr:colOff>
      <xdr:row>1070</xdr:row>
      <xdr:rowOff>231320</xdr:rowOff>
    </xdr:from>
    <xdr:to>
      <xdr:col>9</xdr:col>
      <xdr:colOff>625929</xdr:colOff>
      <xdr:row>1081</xdr:row>
      <xdr:rowOff>122463</xdr:rowOff>
    </xdr:to>
    <xdr:sp macro="" textlink="">
      <xdr:nvSpPr>
        <xdr:cNvPr id="127" name="AutoShape 65"/>
        <xdr:cNvSpPr>
          <a:spLocks noChangeArrowheads="1"/>
        </xdr:cNvSpPr>
      </xdr:nvSpPr>
      <xdr:spPr bwMode="auto">
        <a:xfrm>
          <a:off x="312964" y="319400463"/>
          <a:ext cx="9375322" cy="2272393"/>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 name="connsiteX0" fmla="*/ 0 w 5538108"/>
            <a:gd name="connsiteY0" fmla="*/ 0 h 1699072"/>
            <a:gd name="connsiteX1" fmla="*/ 5538108 w 5538108"/>
            <a:gd name="connsiteY1" fmla="*/ 0 h 1699072"/>
            <a:gd name="connsiteX2" fmla="*/ 5538108 w 5538108"/>
            <a:gd name="connsiteY2" fmla="*/ 841375 h 1699072"/>
            <a:gd name="connsiteX3" fmla="*/ 5538108 w 5538108"/>
            <a:gd name="connsiteY3" fmla="*/ 841375 h 1699072"/>
            <a:gd name="connsiteX4" fmla="*/ 5538108 w 5538108"/>
            <a:gd name="connsiteY4" fmla="*/ 1201964 h 1699072"/>
            <a:gd name="connsiteX5" fmla="*/ 5538108 w 5538108"/>
            <a:gd name="connsiteY5" fmla="*/ 1442357 h 1699072"/>
            <a:gd name="connsiteX6" fmla="*/ 2307545 w 5538108"/>
            <a:gd name="connsiteY6" fmla="*/ 1442357 h 1699072"/>
            <a:gd name="connsiteX7" fmla="*/ 2492679 w 5538108"/>
            <a:gd name="connsiteY7" fmla="*/ 1699072 h 1699072"/>
            <a:gd name="connsiteX8" fmla="*/ 923018 w 5538108"/>
            <a:gd name="connsiteY8" fmla="*/ 1442357 h 1699072"/>
            <a:gd name="connsiteX9" fmla="*/ 0 w 5538108"/>
            <a:gd name="connsiteY9" fmla="*/ 1442357 h 1699072"/>
            <a:gd name="connsiteX10" fmla="*/ 0 w 5538108"/>
            <a:gd name="connsiteY10" fmla="*/ 1201964 h 1699072"/>
            <a:gd name="connsiteX11" fmla="*/ 0 w 5538108"/>
            <a:gd name="connsiteY11" fmla="*/ 841375 h 1699072"/>
            <a:gd name="connsiteX12" fmla="*/ 0 w 5538108"/>
            <a:gd name="connsiteY12" fmla="*/ 841375 h 1699072"/>
            <a:gd name="connsiteX13" fmla="*/ 0 w 5538108"/>
            <a:gd name="connsiteY13" fmla="*/ 0 h 1699072"/>
            <a:gd name="connsiteX0" fmla="*/ 0 w 5538108"/>
            <a:gd name="connsiteY0" fmla="*/ 0 h 1699072"/>
            <a:gd name="connsiteX1" fmla="*/ 5538108 w 5538108"/>
            <a:gd name="connsiteY1" fmla="*/ 0 h 1699072"/>
            <a:gd name="connsiteX2" fmla="*/ 5538108 w 5538108"/>
            <a:gd name="connsiteY2" fmla="*/ 841375 h 1699072"/>
            <a:gd name="connsiteX3" fmla="*/ 5538108 w 5538108"/>
            <a:gd name="connsiteY3" fmla="*/ 841375 h 1699072"/>
            <a:gd name="connsiteX4" fmla="*/ 5538108 w 5538108"/>
            <a:gd name="connsiteY4" fmla="*/ 1201964 h 1699072"/>
            <a:gd name="connsiteX5" fmla="*/ 5538108 w 5538108"/>
            <a:gd name="connsiteY5" fmla="*/ 1442357 h 1699072"/>
            <a:gd name="connsiteX6" fmla="*/ 1278695 w 5538108"/>
            <a:gd name="connsiteY6" fmla="*/ 1442357 h 1699072"/>
            <a:gd name="connsiteX7" fmla="*/ 2492679 w 5538108"/>
            <a:gd name="connsiteY7" fmla="*/ 1699072 h 1699072"/>
            <a:gd name="connsiteX8" fmla="*/ 923018 w 5538108"/>
            <a:gd name="connsiteY8" fmla="*/ 1442357 h 1699072"/>
            <a:gd name="connsiteX9" fmla="*/ 0 w 5538108"/>
            <a:gd name="connsiteY9" fmla="*/ 1442357 h 1699072"/>
            <a:gd name="connsiteX10" fmla="*/ 0 w 5538108"/>
            <a:gd name="connsiteY10" fmla="*/ 1201964 h 1699072"/>
            <a:gd name="connsiteX11" fmla="*/ 0 w 5538108"/>
            <a:gd name="connsiteY11" fmla="*/ 841375 h 1699072"/>
            <a:gd name="connsiteX12" fmla="*/ 0 w 5538108"/>
            <a:gd name="connsiteY12" fmla="*/ 841375 h 1699072"/>
            <a:gd name="connsiteX13" fmla="*/ 0 w 5538108"/>
            <a:gd name="connsiteY13" fmla="*/ 0 h 1699072"/>
            <a:gd name="connsiteX0" fmla="*/ 0 w 5538108"/>
            <a:gd name="connsiteY0" fmla="*/ 0 h 1741285"/>
            <a:gd name="connsiteX1" fmla="*/ 5538108 w 5538108"/>
            <a:gd name="connsiteY1" fmla="*/ 0 h 1741285"/>
            <a:gd name="connsiteX2" fmla="*/ 5538108 w 5538108"/>
            <a:gd name="connsiteY2" fmla="*/ 841375 h 1741285"/>
            <a:gd name="connsiteX3" fmla="*/ 5538108 w 5538108"/>
            <a:gd name="connsiteY3" fmla="*/ 841375 h 1741285"/>
            <a:gd name="connsiteX4" fmla="*/ 5538108 w 5538108"/>
            <a:gd name="connsiteY4" fmla="*/ 1201964 h 1741285"/>
            <a:gd name="connsiteX5" fmla="*/ 5538108 w 5538108"/>
            <a:gd name="connsiteY5" fmla="*/ 1442357 h 1741285"/>
            <a:gd name="connsiteX6" fmla="*/ 1278695 w 5538108"/>
            <a:gd name="connsiteY6" fmla="*/ 1442357 h 1741285"/>
            <a:gd name="connsiteX7" fmla="*/ 1528132 w 5538108"/>
            <a:gd name="connsiteY7" fmla="*/ 1741285 h 1741285"/>
            <a:gd name="connsiteX8" fmla="*/ 923018 w 5538108"/>
            <a:gd name="connsiteY8" fmla="*/ 1442357 h 1741285"/>
            <a:gd name="connsiteX9" fmla="*/ 0 w 5538108"/>
            <a:gd name="connsiteY9" fmla="*/ 1442357 h 1741285"/>
            <a:gd name="connsiteX10" fmla="*/ 0 w 5538108"/>
            <a:gd name="connsiteY10" fmla="*/ 1201964 h 1741285"/>
            <a:gd name="connsiteX11" fmla="*/ 0 w 5538108"/>
            <a:gd name="connsiteY11" fmla="*/ 841375 h 1741285"/>
            <a:gd name="connsiteX12" fmla="*/ 0 w 5538108"/>
            <a:gd name="connsiteY12" fmla="*/ 841375 h 1741285"/>
            <a:gd name="connsiteX13" fmla="*/ 0 w 5538108"/>
            <a:gd name="connsiteY13" fmla="*/ 0 h 17412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1741285">
              <a:moveTo>
                <a:pt x="0" y="0"/>
              </a:moveTo>
              <a:lnTo>
                <a:pt x="5538108" y="0"/>
              </a:lnTo>
              <a:lnTo>
                <a:pt x="5538108" y="841375"/>
              </a:lnTo>
              <a:lnTo>
                <a:pt x="5538108" y="841375"/>
              </a:lnTo>
              <a:lnTo>
                <a:pt x="5538108" y="1201964"/>
              </a:lnTo>
              <a:lnTo>
                <a:pt x="5538108" y="1442357"/>
              </a:lnTo>
              <a:lnTo>
                <a:pt x="1278695" y="1442357"/>
              </a:lnTo>
              <a:lnTo>
                <a:pt x="1528132" y="1741285"/>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Este apartado se basa en el cálculo de la matriz de riesgos.  Se tienen en cuenta los diferentes escenarios a los que se enfrenta el proyecto y su impacto. </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1)  El analista determina los posibles riesgos, a partir de un listado que puede ampliar.</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2)  Asigna una probabilidad de ocurrencia (A, B, C, D y E), correspondiendo A a la máxima probabilidad y E a un suceso excepcional  </a:t>
          </a: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  3)  Asigna el impacto (1, 2, 3, 4 y 5), siendo 1 un impacto insignificante y 5 una catástrofe</a:t>
          </a:r>
        </a:p>
        <a:p>
          <a:pPr marL="0" marR="0" indent="0" defTabSz="914400" rtl="0" eaLnBrk="1" fontAlgn="auto" latinLnBrk="0" hangingPunct="1">
            <a:lnSpc>
              <a:spcPct val="100000"/>
            </a:lnSpc>
            <a:spcBef>
              <a:spcPts val="0"/>
            </a:spcBef>
            <a:spcAft>
              <a:spcPts val="0"/>
            </a:spcAft>
            <a:buClrTx/>
            <a:buSzTx/>
            <a:buFontTx/>
            <a:buNone/>
            <a:tabLst/>
            <a:defRPr/>
          </a:pPr>
          <a:endParaRPr lang="es-ES" sz="1400" b="0" i="0" baseline="0">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modelo calcula el riesgo (bajo, medio, alto y muy alto) de acuerdo con la matriz de riesgos.</a:t>
          </a:r>
        </a:p>
      </xdr:txBody>
    </xdr:sp>
    <xdr:clientData/>
  </xdr:twoCellAnchor>
  <xdr:twoCellAnchor>
    <xdr:from>
      <xdr:col>1</xdr:col>
      <xdr:colOff>176892</xdr:colOff>
      <xdr:row>1112</xdr:row>
      <xdr:rowOff>0</xdr:rowOff>
    </xdr:from>
    <xdr:to>
      <xdr:col>8</xdr:col>
      <xdr:colOff>598714</xdr:colOff>
      <xdr:row>1115</xdr:row>
      <xdr:rowOff>122465</xdr:rowOff>
    </xdr:to>
    <xdr:sp macro="" textlink="">
      <xdr:nvSpPr>
        <xdr:cNvPr id="128" name="AutoShape 65"/>
        <xdr:cNvSpPr>
          <a:spLocks noChangeArrowheads="1"/>
        </xdr:cNvSpPr>
      </xdr:nvSpPr>
      <xdr:spPr bwMode="auto">
        <a:xfrm>
          <a:off x="285749" y="328734964"/>
          <a:ext cx="8463644" cy="693965"/>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 name="connsiteX0" fmla="*/ 0 w 5538108"/>
            <a:gd name="connsiteY0" fmla="*/ 0 h 1699072"/>
            <a:gd name="connsiteX1" fmla="*/ 5538108 w 5538108"/>
            <a:gd name="connsiteY1" fmla="*/ 0 h 1699072"/>
            <a:gd name="connsiteX2" fmla="*/ 5538108 w 5538108"/>
            <a:gd name="connsiteY2" fmla="*/ 841375 h 1699072"/>
            <a:gd name="connsiteX3" fmla="*/ 5538108 w 5538108"/>
            <a:gd name="connsiteY3" fmla="*/ 841375 h 1699072"/>
            <a:gd name="connsiteX4" fmla="*/ 5538108 w 5538108"/>
            <a:gd name="connsiteY4" fmla="*/ 1201964 h 1699072"/>
            <a:gd name="connsiteX5" fmla="*/ 5538108 w 5538108"/>
            <a:gd name="connsiteY5" fmla="*/ 1442357 h 1699072"/>
            <a:gd name="connsiteX6" fmla="*/ 2307545 w 5538108"/>
            <a:gd name="connsiteY6" fmla="*/ 1442357 h 1699072"/>
            <a:gd name="connsiteX7" fmla="*/ 2492679 w 5538108"/>
            <a:gd name="connsiteY7" fmla="*/ 1699072 h 1699072"/>
            <a:gd name="connsiteX8" fmla="*/ 923018 w 5538108"/>
            <a:gd name="connsiteY8" fmla="*/ 1442357 h 1699072"/>
            <a:gd name="connsiteX9" fmla="*/ 0 w 5538108"/>
            <a:gd name="connsiteY9" fmla="*/ 1442357 h 1699072"/>
            <a:gd name="connsiteX10" fmla="*/ 0 w 5538108"/>
            <a:gd name="connsiteY10" fmla="*/ 1201964 h 1699072"/>
            <a:gd name="connsiteX11" fmla="*/ 0 w 5538108"/>
            <a:gd name="connsiteY11" fmla="*/ 841375 h 1699072"/>
            <a:gd name="connsiteX12" fmla="*/ 0 w 5538108"/>
            <a:gd name="connsiteY12" fmla="*/ 841375 h 1699072"/>
            <a:gd name="connsiteX13" fmla="*/ 0 w 5538108"/>
            <a:gd name="connsiteY13" fmla="*/ 0 h 1699072"/>
            <a:gd name="connsiteX0" fmla="*/ 0 w 5538108"/>
            <a:gd name="connsiteY0" fmla="*/ 0 h 1699072"/>
            <a:gd name="connsiteX1" fmla="*/ 5538108 w 5538108"/>
            <a:gd name="connsiteY1" fmla="*/ 0 h 1699072"/>
            <a:gd name="connsiteX2" fmla="*/ 5538108 w 5538108"/>
            <a:gd name="connsiteY2" fmla="*/ 841375 h 1699072"/>
            <a:gd name="connsiteX3" fmla="*/ 5538108 w 5538108"/>
            <a:gd name="connsiteY3" fmla="*/ 841375 h 1699072"/>
            <a:gd name="connsiteX4" fmla="*/ 5538108 w 5538108"/>
            <a:gd name="connsiteY4" fmla="*/ 1201964 h 1699072"/>
            <a:gd name="connsiteX5" fmla="*/ 5538108 w 5538108"/>
            <a:gd name="connsiteY5" fmla="*/ 1442357 h 1699072"/>
            <a:gd name="connsiteX6" fmla="*/ 1278695 w 5538108"/>
            <a:gd name="connsiteY6" fmla="*/ 1442357 h 1699072"/>
            <a:gd name="connsiteX7" fmla="*/ 2492679 w 5538108"/>
            <a:gd name="connsiteY7" fmla="*/ 1699072 h 1699072"/>
            <a:gd name="connsiteX8" fmla="*/ 923018 w 5538108"/>
            <a:gd name="connsiteY8" fmla="*/ 1442357 h 1699072"/>
            <a:gd name="connsiteX9" fmla="*/ 0 w 5538108"/>
            <a:gd name="connsiteY9" fmla="*/ 1442357 h 1699072"/>
            <a:gd name="connsiteX10" fmla="*/ 0 w 5538108"/>
            <a:gd name="connsiteY10" fmla="*/ 1201964 h 1699072"/>
            <a:gd name="connsiteX11" fmla="*/ 0 w 5538108"/>
            <a:gd name="connsiteY11" fmla="*/ 841375 h 1699072"/>
            <a:gd name="connsiteX12" fmla="*/ 0 w 5538108"/>
            <a:gd name="connsiteY12" fmla="*/ 841375 h 1699072"/>
            <a:gd name="connsiteX13" fmla="*/ 0 w 5538108"/>
            <a:gd name="connsiteY13" fmla="*/ 0 h 1699072"/>
            <a:gd name="connsiteX0" fmla="*/ 0 w 5538108"/>
            <a:gd name="connsiteY0" fmla="*/ 0 h 1741285"/>
            <a:gd name="connsiteX1" fmla="*/ 5538108 w 5538108"/>
            <a:gd name="connsiteY1" fmla="*/ 0 h 1741285"/>
            <a:gd name="connsiteX2" fmla="*/ 5538108 w 5538108"/>
            <a:gd name="connsiteY2" fmla="*/ 841375 h 1741285"/>
            <a:gd name="connsiteX3" fmla="*/ 5538108 w 5538108"/>
            <a:gd name="connsiteY3" fmla="*/ 841375 h 1741285"/>
            <a:gd name="connsiteX4" fmla="*/ 5538108 w 5538108"/>
            <a:gd name="connsiteY4" fmla="*/ 1201964 h 1741285"/>
            <a:gd name="connsiteX5" fmla="*/ 5538108 w 5538108"/>
            <a:gd name="connsiteY5" fmla="*/ 1442357 h 1741285"/>
            <a:gd name="connsiteX6" fmla="*/ 1278695 w 5538108"/>
            <a:gd name="connsiteY6" fmla="*/ 1442357 h 1741285"/>
            <a:gd name="connsiteX7" fmla="*/ 1528132 w 5538108"/>
            <a:gd name="connsiteY7" fmla="*/ 1741285 h 1741285"/>
            <a:gd name="connsiteX8" fmla="*/ 923018 w 5538108"/>
            <a:gd name="connsiteY8" fmla="*/ 1442357 h 1741285"/>
            <a:gd name="connsiteX9" fmla="*/ 0 w 5538108"/>
            <a:gd name="connsiteY9" fmla="*/ 1442357 h 1741285"/>
            <a:gd name="connsiteX10" fmla="*/ 0 w 5538108"/>
            <a:gd name="connsiteY10" fmla="*/ 1201964 h 1741285"/>
            <a:gd name="connsiteX11" fmla="*/ 0 w 5538108"/>
            <a:gd name="connsiteY11" fmla="*/ 841375 h 1741285"/>
            <a:gd name="connsiteX12" fmla="*/ 0 w 5538108"/>
            <a:gd name="connsiteY12" fmla="*/ 841375 h 1741285"/>
            <a:gd name="connsiteX13" fmla="*/ 0 w 5538108"/>
            <a:gd name="connsiteY13" fmla="*/ 0 h 17412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1741285">
              <a:moveTo>
                <a:pt x="0" y="0"/>
              </a:moveTo>
              <a:lnTo>
                <a:pt x="5538108" y="0"/>
              </a:lnTo>
              <a:lnTo>
                <a:pt x="5538108" y="841375"/>
              </a:lnTo>
              <a:lnTo>
                <a:pt x="5538108" y="841375"/>
              </a:lnTo>
              <a:lnTo>
                <a:pt x="5538108" y="1201964"/>
              </a:lnTo>
              <a:lnTo>
                <a:pt x="5538108" y="1442357"/>
              </a:lnTo>
              <a:lnTo>
                <a:pt x="1278695" y="1442357"/>
              </a:lnTo>
              <a:lnTo>
                <a:pt x="1528132" y="1741285"/>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Este apartado calcula el Pay back o plazo de recuperación de una inversión en un proyecto. Cuanto menor sea el tiempo en que se recupera la inversión, mejor.</a:t>
          </a:r>
        </a:p>
      </xdr:txBody>
    </xdr:sp>
    <xdr:clientData/>
  </xdr:twoCellAnchor>
  <xdr:twoCellAnchor>
    <xdr:from>
      <xdr:col>5</xdr:col>
      <xdr:colOff>176893</xdr:colOff>
      <xdr:row>238</xdr:row>
      <xdr:rowOff>27214</xdr:rowOff>
    </xdr:from>
    <xdr:to>
      <xdr:col>15</xdr:col>
      <xdr:colOff>367392</xdr:colOff>
      <xdr:row>252</xdr:row>
      <xdr:rowOff>160564</xdr:rowOff>
    </xdr:to>
    <xdr:graphicFrame macro="">
      <xdr:nvGraphicFramePr>
        <xdr:cNvPr id="141" name="1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183696</xdr:colOff>
      <xdr:row>255</xdr:row>
      <xdr:rowOff>16329</xdr:rowOff>
    </xdr:from>
    <xdr:to>
      <xdr:col>15</xdr:col>
      <xdr:colOff>381000</xdr:colOff>
      <xdr:row>268</xdr:row>
      <xdr:rowOff>106136</xdr:rowOff>
    </xdr:to>
    <xdr:graphicFrame macro="">
      <xdr:nvGraphicFramePr>
        <xdr:cNvPr id="142" name="14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203</xdr:row>
      <xdr:rowOff>0</xdr:rowOff>
    </xdr:from>
    <xdr:to>
      <xdr:col>12</xdr:col>
      <xdr:colOff>449035</xdr:colOff>
      <xdr:row>206</xdr:row>
      <xdr:rowOff>190499</xdr:rowOff>
    </xdr:to>
    <xdr:sp macro="" textlink="">
      <xdr:nvSpPr>
        <xdr:cNvPr id="143" name="AutoShape 65"/>
        <xdr:cNvSpPr>
          <a:spLocks noChangeArrowheads="1"/>
        </xdr:cNvSpPr>
      </xdr:nvSpPr>
      <xdr:spPr bwMode="auto">
        <a:xfrm>
          <a:off x="291353" y="37382824"/>
          <a:ext cx="12024711" cy="795616"/>
        </a:xfrm>
        <a:prstGeom prst="wedgeRectCallout">
          <a:avLst>
            <a:gd name="adj1" fmla="val -10123"/>
            <a:gd name="adj2" fmla="val 76366"/>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presupuesto de tesorería se calcula a partir de las previsiones sobre cobros y pagos y a las inversiones proyectadas a lo largo del año presupuestado. Contempla numerosas hipótesis como la evolución de las ventas y hechos ciertos como las cuotas a pagar por un arrendamiento o por los intereses de un préstamo. Aquí se muestra una versión muy resumida.</a:t>
          </a:r>
          <a:endParaRPr lang="es-ES" sz="1000" b="0">
            <a:effectLst/>
          </a:endParaRPr>
        </a:p>
      </xdr:txBody>
    </xdr:sp>
    <xdr:clientData/>
  </xdr:twoCellAnchor>
  <xdr:twoCellAnchor>
    <xdr:from>
      <xdr:col>2</xdr:col>
      <xdr:colOff>1</xdr:colOff>
      <xdr:row>243</xdr:row>
      <xdr:rowOff>108858</xdr:rowOff>
    </xdr:from>
    <xdr:to>
      <xdr:col>4</xdr:col>
      <xdr:colOff>693965</xdr:colOff>
      <xdr:row>251</xdr:row>
      <xdr:rowOff>190499</xdr:rowOff>
    </xdr:to>
    <xdr:sp macro="" textlink="">
      <xdr:nvSpPr>
        <xdr:cNvPr id="144" name="AutoShape 65"/>
        <xdr:cNvSpPr>
          <a:spLocks noChangeArrowheads="1"/>
        </xdr:cNvSpPr>
      </xdr:nvSpPr>
      <xdr:spPr bwMode="auto">
        <a:xfrm>
          <a:off x="291354" y="174393946"/>
          <a:ext cx="4896170" cy="1695288"/>
        </a:xfrm>
        <a:prstGeom prst="wedgeRectCallout">
          <a:avLst>
            <a:gd name="adj1" fmla="val 50419"/>
            <a:gd name="adj2" fmla="val 140152"/>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El gráfico superior muestra la evolución de los cobros y pagos mensuales. El inferior es más interesante pues se obtiene por la diferencia entre cobros y pagos y muestra también el saldo acumulado de tesorería. Nótese como es un gráfico mixto de columna y línea. Para ello se construye como un gráfico de columna pero se selecciona la serie correspondiente al saldo y se cambia el tipo de gráfico a línea.</a:t>
          </a:r>
          <a:endParaRPr lang="es-ES" sz="1000" b="0">
            <a:effectLst/>
          </a:endParaRPr>
        </a:p>
      </xdr:txBody>
    </xdr:sp>
    <xdr:clientData/>
  </xdr:twoCellAnchor>
  <xdr:twoCellAnchor>
    <xdr:from>
      <xdr:col>2</xdr:col>
      <xdr:colOff>28574</xdr:colOff>
      <xdr:row>181</xdr:row>
      <xdr:rowOff>156881</xdr:rowOff>
    </xdr:from>
    <xdr:to>
      <xdr:col>6</xdr:col>
      <xdr:colOff>537882</xdr:colOff>
      <xdr:row>198</xdr:row>
      <xdr:rowOff>44822</xdr:rowOff>
    </xdr:to>
    <xdr:graphicFrame macro="">
      <xdr:nvGraphicFramePr>
        <xdr:cNvPr id="15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666755</xdr:colOff>
      <xdr:row>14</xdr:row>
      <xdr:rowOff>81642</xdr:rowOff>
    </xdr:from>
    <xdr:to>
      <xdr:col>16</xdr:col>
      <xdr:colOff>204113</xdr:colOff>
      <xdr:row>17</xdr:row>
      <xdr:rowOff>122463</xdr:rowOff>
    </xdr:to>
    <xdr:sp macro="" textlink="">
      <xdr:nvSpPr>
        <xdr:cNvPr id="157" name="AutoShape 65"/>
        <xdr:cNvSpPr>
          <a:spLocks noChangeArrowheads="1"/>
        </xdr:cNvSpPr>
      </xdr:nvSpPr>
      <xdr:spPr bwMode="auto">
        <a:xfrm>
          <a:off x="4095755" y="3075213"/>
          <a:ext cx="11960679" cy="693964"/>
        </a:xfrm>
        <a:prstGeom prst="wedgeRectCallout">
          <a:avLst>
            <a:gd name="adj1" fmla="val -52445"/>
            <a:gd name="adj2" fmla="val -5822"/>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Se trata de conocer el mercado en el que queremos competir. Para ello se debe recoger información de diversas fuentes, muy a menudo de naturaleza estadística. Google Trends http://www.google.com/trends puede ser una buena herramienta. Para detectar competidores la opción link: de Google y Yahoo, por ejemplo link:http://www.ibergour.com y posteriormente analizarlos con Google Adplanner http://www.google.com/adplanner</a:t>
          </a:r>
          <a:endParaRPr lang="es-ES" sz="1000" b="0">
            <a:effectLst/>
          </a:endParaRPr>
        </a:p>
      </xdr:txBody>
    </xdr:sp>
    <xdr:clientData/>
  </xdr:twoCellAnchor>
  <xdr:twoCellAnchor>
    <xdr:from>
      <xdr:col>4</xdr:col>
      <xdr:colOff>435424</xdr:colOff>
      <xdr:row>62</xdr:row>
      <xdr:rowOff>122464</xdr:rowOff>
    </xdr:from>
    <xdr:to>
      <xdr:col>12</xdr:col>
      <xdr:colOff>639532</xdr:colOff>
      <xdr:row>64</xdr:row>
      <xdr:rowOff>136071</xdr:rowOff>
    </xdr:to>
    <xdr:sp macro="" textlink="">
      <xdr:nvSpPr>
        <xdr:cNvPr id="158" name="AutoShape 65"/>
        <xdr:cNvSpPr>
          <a:spLocks noChangeArrowheads="1"/>
        </xdr:cNvSpPr>
      </xdr:nvSpPr>
      <xdr:spPr bwMode="auto">
        <a:xfrm>
          <a:off x="4912174" y="12042321"/>
          <a:ext cx="7592787" cy="462643"/>
        </a:xfrm>
        <a:prstGeom prst="wedgeRectCallout">
          <a:avLst>
            <a:gd name="adj1" fmla="val -66490"/>
            <a:gd name="adj2" fmla="val -1900"/>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Cómo se va</a:t>
          </a:r>
          <a:r>
            <a:rPr lang="es-ES" sz="1400" b="0" baseline="0">
              <a:effectLst/>
              <a:latin typeface="Arial" pitchFamily="34" charset="0"/>
              <a:cs typeface="Arial" pitchFamily="34" charset="0"/>
            </a:rPr>
            <a:t> a organizar la empresa, su forma jurídica, estructura y localización. Una buena guía es la proporcionada por el CEEI http://www.guia.ceei.es/interior.asp?MP=9&amp;MS=15</a:t>
          </a:r>
          <a:endParaRPr lang="es-ES" sz="1400" b="0">
            <a:effectLst/>
            <a:latin typeface="Arial" pitchFamily="34" charset="0"/>
            <a:cs typeface="Arial" pitchFamily="34" charset="0"/>
          </a:endParaRPr>
        </a:p>
      </xdr:txBody>
    </xdr:sp>
    <xdr:clientData/>
  </xdr:twoCellAnchor>
  <xdr:twoCellAnchor>
    <xdr:from>
      <xdr:col>6</xdr:col>
      <xdr:colOff>462642</xdr:colOff>
      <xdr:row>104</xdr:row>
      <xdr:rowOff>27217</xdr:rowOff>
    </xdr:from>
    <xdr:to>
      <xdr:col>14</xdr:col>
      <xdr:colOff>721179</xdr:colOff>
      <xdr:row>107</xdr:row>
      <xdr:rowOff>81644</xdr:rowOff>
    </xdr:to>
    <xdr:sp macro="" textlink="">
      <xdr:nvSpPr>
        <xdr:cNvPr id="159" name="AutoShape 65"/>
        <xdr:cNvSpPr>
          <a:spLocks noChangeArrowheads="1"/>
        </xdr:cNvSpPr>
      </xdr:nvSpPr>
      <xdr:spPr bwMode="auto">
        <a:xfrm>
          <a:off x="6762749" y="20152181"/>
          <a:ext cx="7592787" cy="707570"/>
        </a:xfrm>
        <a:prstGeom prst="wedgeRectCallout">
          <a:avLst>
            <a:gd name="adj1" fmla="val -65952"/>
            <a:gd name="adj2" fmla="val -37194"/>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Se cuantifica la inversión necesaria para que el negocio funcione. Hemos distinguido</a:t>
          </a:r>
          <a:r>
            <a:rPr lang="es-ES" sz="1400" b="0" baseline="0">
              <a:effectLst/>
              <a:latin typeface="Arial" pitchFamily="34" charset="0"/>
              <a:cs typeface="Arial" pitchFamily="34" charset="0"/>
            </a:rPr>
            <a:t> entre aquellos gastos anteriores a la puesta en marcha de la empresa, la puesta en marcha propiamente y los necesarios para que la empresa esté operando el primer mes.</a:t>
          </a:r>
          <a:endParaRPr lang="es-ES" sz="1400" b="0">
            <a:effectLst/>
            <a:latin typeface="Arial" pitchFamily="34" charset="0"/>
            <a:cs typeface="Arial" pitchFamily="34" charset="0"/>
          </a:endParaRPr>
        </a:p>
      </xdr:txBody>
    </xdr:sp>
    <xdr:clientData/>
  </xdr:twoCellAnchor>
  <xdr:twoCellAnchor>
    <xdr:from>
      <xdr:col>6</xdr:col>
      <xdr:colOff>557892</xdr:colOff>
      <xdr:row>154</xdr:row>
      <xdr:rowOff>54428</xdr:rowOff>
    </xdr:from>
    <xdr:to>
      <xdr:col>15</xdr:col>
      <xdr:colOff>54429</xdr:colOff>
      <xdr:row>157</xdr:row>
      <xdr:rowOff>108855</xdr:rowOff>
    </xdr:to>
    <xdr:sp macro="" textlink="">
      <xdr:nvSpPr>
        <xdr:cNvPr id="160" name="AutoShape 65"/>
        <xdr:cNvSpPr>
          <a:spLocks noChangeArrowheads="1"/>
        </xdr:cNvSpPr>
      </xdr:nvSpPr>
      <xdr:spPr bwMode="auto">
        <a:xfrm>
          <a:off x="6857999" y="30221464"/>
          <a:ext cx="7592787" cy="707570"/>
        </a:xfrm>
        <a:prstGeom prst="wedgeRectCallout">
          <a:avLst>
            <a:gd name="adj1" fmla="val -65952"/>
            <a:gd name="adj2" fmla="val -37194"/>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Tras identificar</a:t>
          </a:r>
          <a:r>
            <a:rPr lang="es-ES" sz="1400" b="0" baseline="0">
              <a:effectLst/>
              <a:latin typeface="Arial" pitchFamily="34" charset="0"/>
              <a:cs typeface="Arial" pitchFamily="34" charset="0"/>
            </a:rPr>
            <a:t> la </a:t>
          </a:r>
          <a:r>
            <a:rPr lang="es-ES" sz="1400" b="0">
              <a:effectLst/>
              <a:latin typeface="Arial" pitchFamily="34" charset="0"/>
              <a:cs typeface="Arial" pitchFamily="34" charset="0"/>
            </a:rPr>
            <a:t>inversión necesaria para que el negocio funcione debemos proponer las fuentes de financiación, es decir, de dónde va a salir el dinero</a:t>
          </a:r>
          <a:r>
            <a:rPr lang="es-ES" sz="1400" b="0" baseline="0">
              <a:effectLst/>
              <a:latin typeface="Arial" pitchFamily="34" charset="0"/>
              <a:cs typeface="Arial" pitchFamily="34" charset="0"/>
            </a:rPr>
            <a:t>. La financiación ajena se calcula como diferencia entre la inversión necesaria y la suma de los fondos propios y subvenciones. </a:t>
          </a:r>
          <a:endParaRPr lang="es-ES" sz="1400" b="0">
            <a:effectLst/>
            <a:latin typeface="Arial" pitchFamily="34" charset="0"/>
            <a:cs typeface="Arial" pitchFamily="34" charset="0"/>
          </a:endParaRPr>
        </a:p>
      </xdr:txBody>
    </xdr:sp>
    <xdr:clientData/>
  </xdr:twoCellAnchor>
  <xdr:twoCellAnchor>
    <xdr:from>
      <xdr:col>4</xdr:col>
      <xdr:colOff>312964</xdr:colOff>
      <xdr:row>174</xdr:row>
      <xdr:rowOff>40821</xdr:rowOff>
    </xdr:from>
    <xdr:to>
      <xdr:col>12</xdr:col>
      <xdr:colOff>217714</xdr:colOff>
      <xdr:row>176</xdr:row>
      <xdr:rowOff>108856</xdr:rowOff>
    </xdr:to>
    <xdr:sp macro="" textlink="">
      <xdr:nvSpPr>
        <xdr:cNvPr id="73" name="AutoShape 65"/>
        <xdr:cNvSpPr>
          <a:spLocks noChangeArrowheads="1"/>
        </xdr:cNvSpPr>
      </xdr:nvSpPr>
      <xdr:spPr bwMode="auto">
        <a:xfrm>
          <a:off x="4789714" y="34317214"/>
          <a:ext cx="7293429" cy="517071"/>
        </a:xfrm>
        <a:prstGeom prst="wedgeRectCallout">
          <a:avLst>
            <a:gd name="adj1" fmla="val -65952"/>
            <a:gd name="adj2" fmla="val -37194"/>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a:effectLst/>
              <a:latin typeface="Arial" pitchFamily="34" charset="0"/>
              <a:cs typeface="Arial" pitchFamily="34" charset="0"/>
            </a:rPr>
            <a:t>Número mínimo de productos que</a:t>
          </a:r>
          <a:r>
            <a:rPr lang="es-ES" sz="1400" b="0" baseline="0">
              <a:effectLst/>
              <a:latin typeface="Arial" pitchFamily="34" charset="0"/>
              <a:cs typeface="Arial" pitchFamily="34" charset="0"/>
            </a:rPr>
            <a:t> debe vender la empresa para ser rentable, es decir que los ingresos superen a los costes.</a:t>
          </a:r>
          <a:endParaRPr lang="es-ES" sz="1400" b="0">
            <a:effectLst/>
            <a:latin typeface="Arial" pitchFamily="34" charset="0"/>
            <a:cs typeface="Arial" pitchFamily="34" charset="0"/>
          </a:endParaRPr>
        </a:p>
      </xdr:txBody>
    </xdr:sp>
    <xdr:clientData/>
  </xdr:twoCellAnchor>
  <xdr:twoCellAnchor>
    <xdr:from>
      <xdr:col>4</xdr:col>
      <xdr:colOff>449029</xdr:colOff>
      <xdr:row>0</xdr:row>
      <xdr:rowOff>95252</xdr:rowOff>
    </xdr:from>
    <xdr:to>
      <xdr:col>13</xdr:col>
      <xdr:colOff>680352</xdr:colOff>
      <xdr:row>2</xdr:row>
      <xdr:rowOff>68038</xdr:rowOff>
    </xdr:to>
    <xdr:sp macro="" textlink="">
      <xdr:nvSpPr>
        <xdr:cNvPr id="75" name="AutoShape 65"/>
        <xdr:cNvSpPr>
          <a:spLocks noChangeArrowheads="1"/>
        </xdr:cNvSpPr>
      </xdr:nvSpPr>
      <xdr:spPr bwMode="auto">
        <a:xfrm>
          <a:off x="4925779" y="95252"/>
          <a:ext cx="8640537" cy="476250"/>
        </a:xfrm>
        <a:prstGeom prst="wedgeRectCallout">
          <a:avLst>
            <a:gd name="adj1" fmla="val -65681"/>
            <a:gd name="adj2" fmla="val -51"/>
          </a:avLst>
        </a:prstGeom>
        <a:solidFill>
          <a:schemeClr val="tx2">
            <a:lumMod val="20000"/>
            <a:lumOff val="80000"/>
          </a:schemeClr>
        </a:solidFill>
        <a:ln w="9525">
          <a:solidFill>
            <a:sysClr val="windowText" lastClr="000000"/>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Podemos encontrar plantillas de modelos de negocio en http://www.emprendedores.es/crear_una_empresa o http://www.promalagaincubadoras.es/content/view/66/57/</a:t>
          </a:r>
          <a:endParaRPr lang="es-ES" sz="1000" b="0">
            <a:effectLst/>
          </a:endParaRPr>
        </a:p>
      </xdr:txBody>
    </xdr:sp>
    <xdr:clientData/>
  </xdr:twoCellAnchor>
  <xdr:twoCellAnchor editAs="oneCell">
    <xdr:from>
      <xdr:col>7</xdr:col>
      <xdr:colOff>816428</xdr:colOff>
      <xdr:row>796</xdr:row>
      <xdr:rowOff>68035</xdr:rowOff>
    </xdr:from>
    <xdr:to>
      <xdr:col>10</xdr:col>
      <xdr:colOff>639535</xdr:colOff>
      <xdr:row>809</xdr:row>
      <xdr:rowOff>48645</xdr:rowOff>
    </xdr:to>
    <xdr:pic>
      <xdr:nvPicPr>
        <xdr:cNvPr id="76" name="75 Imagen"/>
        <xdr:cNvPicPr>
          <a:picLocks noChangeAspect="1" noChangeArrowheads="1"/>
        </xdr:cNvPicPr>
      </xdr:nvPicPr>
      <xdr:blipFill>
        <a:blip xmlns:r="http://schemas.openxmlformats.org/officeDocument/2006/relationships" r:embed="rId3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1821" y="161720892"/>
          <a:ext cx="2571750" cy="2470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163286</xdr:colOff>
      <xdr:row>1124</xdr:row>
      <xdr:rowOff>95250</xdr:rowOff>
    </xdr:from>
    <xdr:to>
      <xdr:col>6</xdr:col>
      <xdr:colOff>435430</xdr:colOff>
      <xdr:row>1130</xdr:row>
      <xdr:rowOff>272142</xdr:rowOff>
    </xdr:to>
    <xdr:sp macro="" textlink="">
      <xdr:nvSpPr>
        <xdr:cNvPr id="77" name="AutoShape 65"/>
        <xdr:cNvSpPr>
          <a:spLocks noChangeArrowheads="1"/>
        </xdr:cNvSpPr>
      </xdr:nvSpPr>
      <xdr:spPr bwMode="auto">
        <a:xfrm>
          <a:off x="272143" y="229579714"/>
          <a:ext cx="6463394" cy="1333499"/>
        </a:xfrm>
        <a:custGeom>
          <a:avLst/>
          <a:gdLst>
            <a:gd name="connsiteX0" fmla="*/ 0 w 5538108"/>
            <a:gd name="connsiteY0" fmla="*/ 0 h 1442357"/>
            <a:gd name="connsiteX1" fmla="*/ 923018 w 5538108"/>
            <a:gd name="connsiteY1" fmla="*/ 0 h 1442357"/>
            <a:gd name="connsiteX2" fmla="*/ 923018 w 5538108"/>
            <a:gd name="connsiteY2" fmla="*/ 0 h 1442357"/>
            <a:gd name="connsiteX3" fmla="*/ 2307545 w 5538108"/>
            <a:gd name="connsiteY3" fmla="*/ 0 h 1442357"/>
            <a:gd name="connsiteX4" fmla="*/ 5538108 w 5538108"/>
            <a:gd name="connsiteY4" fmla="*/ 0 h 1442357"/>
            <a:gd name="connsiteX5" fmla="*/ 5538108 w 5538108"/>
            <a:gd name="connsiteY5" fmla="*/ 841375 h 1442357"/>
            <a:gd name="connsiteX6" fmla="*/ 5538108 w 5538108"/>
            <a:gd name="connsiteY6" fmla="*/ 841375 h 1442357"/>
            <a:gd name="connsiteX7" fmla="*/ 5538108 w 5538108"/>
            <a:gd name="connsiteY7" fmla="*/ 1201964 h 1442357"/>
            <a:gd name="connsiteX8" fmla="*/ 5538108 w 5538108"/>
            <a:gd name="connsiteY8" fmla="*/ 1442357 h 1442357"/>
            <a:gd name="connsiteX9" fmla="*/ 2307545 w 5538108"/>
            <a:gd name="connsiteY9" fmla="*/ 1442357 h 1442357"/>
            <a:gd name="connsiteX10" fmla="*/ 46575 w 5538108"/>
            <a:gd name="connsiteY10" fmla="*/ 1699486 h 1442357"/>
            <a:gd name="connsiteX11" fmla="*/ 923018 w 5538108"/>
            <a:gd name="connsiteY11" fmla="*/ 1442357 h 1442357"/>
            <a:gd name="connsiteX12" fmla="*/ 0 w 5538108"/>
            <a:gd name="connsiteY12" fmla="*/ 1442357 h 1442357"/>
            <a:gd name="connsiteX13" fmla="*/ 0 w 5538108"/>
            <a:gd name="connsiteY13" fmla="*/ 1201964 h 1442357"/>
            <a:gd name="connsiteX14" fmla="*/ 0 w 5538108"/>
            <a:gd name="connsiteY14" fmla="*/ 841375 h 1442357"/>
            <a:gd name="connsiteX15" fmla="*/ 0 w 5538108"/>
            <a:gd name="connsiteY15" fmla="*/ 841375 h 1442357"/>
            <a:gd name="connsiteX16" fmla="*/ 0 w 5538108"/>
            <a:gd name="connsiteY16" fmla="*/ 0 h 1442357"/>
            <a:gd name="connsiteX0" fmla="*/ 0 w 5538108"/>
            <a:gd name="connsiteY0" fmla="*/ 394607 h 2094093"/>
            <a:gd name="connsiteX1" fmla="*/ 923018 w 5538108"/>
            <a:gd name="connsiteY1" fmla="*/ 394607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394607 h 2094093"/>
            <a:gd name="connsiteX1" fmla="*/ 1440089 w 5538108"/>
            <a:gd name="connsiteY1" fmla="*/ 381000 h 2094093"/>
            <a:gd name="connsiteX2" fmla="*/ 895804 w 5538108"/>
            <a:gd name="connsiteY2" fmla="*/ 0 h 2094093"/>
            <a:gd name="connsiteX3" fmla="*/ 2307545 w 5538108"/>
            <a:gd name="connsiteY3" fmla="*/ 394607 h 2094093"/>
            <a:gd name="connsiteX4" fmla="*/ 5538108 w 5538108"/>
            <a:gd name="connsiteY4" fmla="*/ 394607 h 2094093"/>
            <a:gd name="connsiteX5" fmla="*/ 5538108 w 5538108"/>
            <a:gd name="connsiteY5" fmla="*/ 1235982 h 2094093"/>
            <a:gd name="connsiteX6" fmla="*/ 5538108 w 5538108"/>
            <a:gd name="connsiteY6" fmla="*/ 1235982 h 2094093"/>
            <a:gd name="connsiteX7" fmla="*/ 5538108 w 5538108"/>
            <a:gd name="connsiteY7" fmla="*/ 1596571 h 2094093"/>
            <a:gd name="connsiteX8" fmla="*/ 5538108 w 5538108"/>
            <a:gd name="connsiteY8" fmla="*/ 1836964 h 2094093"/>
            <a:gd name="connsiteX9" fmla="*/ 2307545 w 5538108"/>
            <a:gd name="connsiteY9" fmla="*/ 1836964 h 2094093"/>
            <a:gd name="connsiteX10" fmla="*/ 46575 w 5538108"/>
            <a:gd name="connsiteY10" fmla="*/ 2094093 h 2094093"/>
            <a:gd name="connsiteX11" fmla="*/ 923018 w 5538108"/>
            <a:gd name="connsiteY11" fmla="*/ 1836964 h 2094093"/>
            <a:gd name="connsiteX12" fmla="*/ 0 w 5538108"/>
            <a:gd name="connsiteY12" fmla="*/ 1836964 h 2094093"/>
            <a:gd name="connsiteX13" fmla="*/ 0 w 5538108"/>
            <a:gd name="connsiteY13" fmla="*/ 1596571 h 2094093"/>
            <a:gd name="connsiteX14" fmla="*/ 0 w 5538108"/>
            <a:gd name="connsiteY14" fmla="*/ 1235982 h 2094093"/>
            <a:gd name="connsiteX15" fmla="*/ 0 w 5538108"/>
            <a:gd name="connsiteY15" fmla="*/ 1235982 h 2094093"/>
            <a:gd name="connsiteX16" fmla="*/ 0 w 5538108"/>
            <a:gd name="connsiteY16" fmla="*/ 394607 h 2094093"/>
            <a:gd name="connsiteX0" fmla="*/ 0 w 5538108"/>
            <a:gd name="connsiteY0" fmla="*/ 13607 h 1713093"/>
            <a:gd name="connsiteX1" fmla="*/ 1440089 w 5538108"/>
            <a:gd name="connsiteY1" fmla="*/ 0 h 1713093"/>
            <a:gd name="connsiteX2" fmla="*/ 1916340 w 5538108"/>
            <a:gd name="connsiteY2" fmla="*/ 0 h 1713093"/>
            <a:gd name="connsiteX3" fmla="*/ 2307545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3559402 w 5538108"/>
            <a:gd name="connsiteY3" fmla="*/ 13607 h 1713093"/>
            <a:gd name="connsiteX4" fmla="*/ 5538108 w 5538108"/>
            <a:gd name="connsiteY4" fmla="*/ 13607 h 1713093"/>
            <a:gd name="connsiteX5" fmla="*/ 5538108 w 5538108"/>
            <a:gd name="connsiteY5" fmla="*/ 854982 h 1713093"/>
            <a:gd name="connsiteX6" fmla="*/ 5538108 w 5538108"/>
            <a:gd name="connsiteY6" fmla="*/ 854982 h 1713093"/>
            <a:gd name="connsiteX7" fmla="*/ 5538108 w 5538108"/>
            <a:gd name="connsiteY7" fmla="*/ 1215571 h 1713093"/>
            <a:gd name="connsiteX8" fmla="*/ 5538108 w 5538108"/>
            <a:gd name="connsiteY8" fmla="*/ 1455964 h 1713093"/>
            <a:gd name="connsiteX9" fmla="*/ 2307545 w 5538108"/>
            <a:gd name="connsiteY9" fmla="*/ 1455964 h 1713093"/>
            <a:gd name="connsiteX10" fmla="*/ 46575 w 5538108"/>
            <a:gd name="connsiteY10" fmla="*/ 1713093 h 1713093"/>
            <a:gd name="connsiteX11" fmla="*/ 923018 w 5538108"/>
            <a:gd name="connsiteY11" fmla="*/ 1455964 h 1713093"/>
            <a:gd name="connsiteX12" fmla="*/ 0 w 5538108"/>
            <a:gd name="connsiteY12" fmla="*/ 1455964 h 1713093"/>
            <a:gd name="connsiteX13" fmla="*/ 0 w 5538108"/>
            <a:gd name="connsiteY13" fmla="*/ 1215571 h 1713093"/>
            <a:gd name="connsiteX14" fmla="*/ 0 w 5538108"/>
            <a:gd name="connsiteY14" fmla="*/ 854982 h 1713093"/>
            <a:gd name="connsiteX15" fmla="*/ 0 w 5538108"/>
            <a:gd name="connsiteY15" fmla="*/ 854982 h 1713093"/>
            <a:gd name="connsiteX16" fmla="*/ 0 w 5538108"/>
            <a:gd name="connsiteY16" fmla="*/ 13607 h 1713093"/>
            <a:gd name="connsiteX0" fmla="*/ 0 w 5538108"/>
            <a:gd name="connsiteY0" fmla="*/ 13607 h 1713093"/>
            <a:gd name="connsiteX1" fmla="*/ 1440089 w 5538108"/>
            <a:gd name="connsiteY1" fmla="*/ 0 h 1713093"/>
            <a:gd name="connsiteX2" fmla="*/ 1916340 w 5538108"/>
            <a:gd name="connsiteY2" fmla="*/ 0 h 1713093"/>
            <a:gd name="connsiteX3" fmla="*/ 5538108 w 5538108"/>
            <a:gd name="connsiteY3" fmla="*/ 13607 h 1713093"/>
            <a:gd name="connsiteX4" fmla="*/ 5538108 w 5538108"/>
            <a:gd name="connsiteY4" fmla="*/ 854982 h 1713093"/>
            <a:gd name="connsiteX5" fmla="*/ 5538108 w 5538108"/>
            <a:gd name="connsiteY5" fmla="*/ 854982 h 1713093"/>
            <a:gd name="connsiteX6" fmla="*/ 5538108 w 5538108"/>
            <a:gd name="connsiteY6" fmla="*/ 1215571 h 1713093"/>
            <a:gd name="connsiteX7" fmla="*/ 5538108 w 5538108"/>
            <a:gd name="connsiteY7" fmla="*/ 1455964 h 1713093"/>
            <a:gd name="connsiteX8" fmla="*/ 2307545 w 5538108"/>
            <a:gd name="connsiteY8" fmla="*/ 1455964 h 1713093"/>
            <a:gd name="connsiteX9" fmla="*/ 46575 w 5538108"/>
            <a:gd name="connsiteY9" fmla="*/ 1713093 h 1713093"/>
            <a:gd name="connsiteX10" fmla="*/ 923018 w 5538108"/>
            <a:gd name="connsiteY10" fmla="*/ 1455964 h 1713093"/>
            <a:gd name="connsiteX11" fmla="*/ 0 w 5538108"/>
            <a:gd name="connsiteY11" fmla="*/ 1455964 h 1713093"/>
            <a:gd name="connsiteX12" fmla="*/ 0 w 5538108"/>
            <a:gd name="connsiteY12" fmla="*/ 1215571 h 1713093"/>
            <a:gd name="connsiteX13" fmla="*/ 0 w 5538108"/>
            <a:gd name="connsiteY13" fmla="*/ 854982 h 1713093"/>
            <a:gd name="connsiteX14" fmla="*/ 0 w 5538108"/>
            <a:gd name="connsiteY14" fmla="*/ 854982 h 1713093"/>
            <a:gd name="connsiteX15" fmla="*/ 0 w 5538108"/>
            <a:gd name="connsiteY15" fmla="*/ 13607 h 1713093"/>
            <a:gd name="connsiteX0" fmla="*/ 0 w 5538108"/>
            <a:gd name="connsiteY0" fmla="*/ 13607 h 1713093"/>
            <a:gd name="connsiteX1" fmla="*/ 1440089 w 5538108"/>
            <a:gd name="connsiteY1" fmla="*/ 0 h 1713093"/>
            <a:gd name="connsiteX2" fmla="*/ 5538108 w 5538108"/>
            <a:gd name="connsiteY2" fmla="*/ 13607 h 1713093"/>
            <a:gd name="connsiteX3" fmla="*/ 5538108 w 5538108"/>
            <a:gd name="connsiteY3" fmla="*/ 854982 h 1713093"/>
            <a:gd name="connsiteX4" fmla="*/ 5538108 w 5538108"/>
            <a:gd name="connsiteY4" fmla="*/ 854982 h 1713093"/>
            <a:gd name="connsiteX5" fmla="*/ 5538108 w 5538108"/>
            <a:gd name="connsiteY5" fmla="*/ 1215571 h 1713093"/>
            <a:gd name="connsiteX6" fmla="*/ 5538108 w 5538108"/>
            <a:gd name="connsiteY6" fmla="*/ 1455964 h 1713093"/>
            <a:gd name="connsiteX7" fmla="*/ 2307545 w 5538108"/>
            <a:gd name="connsiteY7" fmla="*/ 1455964 h 1713093"/>
            <a:gd name="connsiteX8" fmla="*/ 46575 w 5538108"/>
            <a:gd name="connsiteY8" fmla="*/ 1713093 h 1713093"/>
            <a:gd name="connsiteX9" fmla="*/ 923018 w 5538108"/>
            <a:gd name="connsiteY9" fmla="*/ 1455964 h 1713093"/>
            <a:gd name="connsiteX10" fmla="*/ 0 w 5538108"/>
            <a:gd name="connsiteY10" fmla="*/ 1455964 h 1713093"/>
            <a:gd name="connsiteX11" fmla="*/ 0 w 5538108"/>
            <a:gd name="connsiteY11" fmla="*/ 1215571 h 1713093"/>
            <a:gd name="connsiteX12" fmla="*/ 0 w 5538108"/>
            <a:gd name="connsiteY12" fmla="*/ 854982 h 1713093"/>
            <a:gd name="connsiteX13" fmla="*/ 0 w 5538108"/>
            <a:gd name="connsiteY13" fmla="*/ 854982 h 1713093"/>
            <a:gd name="connsiteX14" fmla="*/ 0 w 5538108"/>
            <a:gd name="connsiteY14" fmla="*/ 13607 h 1713093"/>
            <a:gd name="connsiteX0" fmla="*/ 0 w 5538108"/>
            <a:gd name="connsiteY0" fmla="*/ 0 h 1699486"/>
            <a:gd name="connsiteX1" fmla="*/ 5538108 w 5538108"/>
            <a:gd name="connsiteY1" fmla="*/ 0 h 1699486"/>
            <a:gd name="connsiteX2" fmla="*/ 5538108 w 5538108"/>
            <a:gd name="connsiteY2" fmla="*/ 841375 h 1699486"/>
            <a:gd name="connsiteX3" fmla="*/ 5538108 w 5538108"/>
            <a:gd name="connsiteY3" fmla="*/ 841375 h 1699486"/>
            <a:gd name="connsiteX4" fmla="*/ 5538108 w 5538108"/>
            <a:gd name="connsiteY4" fmla="*/ 1201964 h 1699486"/>
            <a:gd name="connsiteX5" fmla="*/ 5538108 w 5538108"/>
            <a:gd name="connsiteY5" fmla="*/ 1442357 h 1699486"/>
            <a:gd name="connsiteX6" fmla="*/ 2307545 w 5538108"/>
            <a:gd name="connsiteY6" fmla="*/ 1442357 h 1699486"/>
            <a:gd name="connsiteX7" fmla="*/ 46575 w 5538108"/>
            <a:gd name="connsiteY7" fmla="*/ 1699486 h 1699486"/>
            <a:gd name="connsiteX8" fmla="*/ 923018 w 5538108"/>
            <a:gd name="connsiteY8" fmla="*/ 1442357 h 1699486"/>
            <a:gd name="connsiteX9" fmla="*/ 0 w 5538108"/>
            <a:gd name="connsiteY9" fmla="*/ 1442357 h 1699486"/>
            <a:gd name="connsiteX10" fmla="*/ 0 w 5538108"/>
            <a:gd name="connsiteY10" fmla="*/ 1201964 h 1699486"/>
            <a:gd name="connsiteX11" fmla="*/ 0 w 5538108"/>
            <a:gd name="connsiteY11" fmla="*/ 841375 h 1699486"/>
            <a:gd name="connsiteX12" fmla="*/ 0 w 5538108"/>
            <a:gd name="connsiteY12" fmla="*/ 841375 h 1699486"/>
            <a:gd name="connsiteX13" fmla="*/ 0 w 5538108"/>
            <a:gd name="connsiteY13" fmla="*/ 0 h 1699486"/>
            <a:gd name="connsiteX0" fmla="*/ 0 w 5538108"/>
            <a:gd name="connsiteY0" fmla="*/ 0 h 2233046"/>
            <a:gd name="connsiteX1" fmla="*/ 5538108 w 5538108"/>
            <a:gd name="connsiteY1" fmla="*/ 0 h 2233046"/>
            <a:gd name="connsiteX2" fmla="*/ 5538108 w 5538108"/>
            <a:gd name="connsiteY2" fmla="*/ 841375 h 2233046"/>
            <a:gd name="connsiteX3" fmla="*/ 5538108 w 5538108"/>
            <a:gd name="connsiteY3" fmla="*/ 841375 h 2233046"/>
            <a:gd name="connsiteX4" fmla="*/ 5538108 w 5538108"/>
            <a:gd name="connsiteY4" fmla="*/ 1201964 h 2233046"/>
            <a:gd name="connsiteX5" fmla="*/ 5538108 w 5538108"/>
            <a:gd name="connsiteY5" fmla="*/ 1442357 h 2233046"/>
            <a:gd name="connsiteX6" fmla="*/ 2307545 w 5538108"/>
            <a:gd name="connsiteY6" fmla="*/ 1442357 h 2233046"/>
            <a:gd name="connsiteX7" fmla="*/ 4458142 w 5538108"/>
            <a:gd name="connsiteY7" fmla="*/ 2233046 h 2233046"/>
            <a:gd name="connsiteX8" fmla="*/ 923018 w 5538108"/>
            <a:gd name="connsiteY8" fmla="*/ 1442357 h 2233046"/>
            <a:gd name="connsiteX9" fmla="*/ 0 w 5538108"/>
            <a:gd name="connsiteY9" fmla="*/ 1442357 h 2233046"/>
            <a:gd name="connsiteX10" fmla="*/ 0 w 5538108"/>
            <a:gd name="connsiteY10" fmla="*/ 1201964 h 2233046"/>
            <a:gd name="connsiteX11" fmla="*/ 0 w 5538108"/>
            <a:gd name="connsiteY11" fmla="*/ 841375 h 2233046"/>
            <a:gd name="connsiteX12" fmla="*/ 0 w 5538108"/>
            <a:gd name="connsiteY12" fmla="*/ 841375 h 2233046"/>
            <a:gd name="connsiteX13" fmla="*/ 0 w 5538108"/>
            <a:gd name="connsiteY13" fmla="*/ 0 h 2233046"/>
            <a:gd name="connsiteX0" fmla="*/ 0 w 5538108"/>
            <a:gd name="connsiteY0" fmla="*/ 0 h 2015669"/>
            <a:gd name="connsiteX1" fmla="*/ 5538108 w 5538108"/>
            <a:gd name="connsiteY1" fmla="*/ 0 h 2015669"/>
            <a:gd name="connsiteX2" fmla="*/ 5538108 w 5538108"/>
            <a:gd name="connsiteY2" fmla="*/ 841375 h 2015669"/>
            <a:gd name="connsiteX3" fmla="*/ 5538108 w 5538108"/>
            <a:gd name="connsiteY3" fmla="*/ 841375 h 2015669"/>
            <a:gd name="connsiteX4" fmla="*/ 5538108 w 5538108"/>
            <a:gd name="connsiteY4" fmla="*/ 1201964 h 2015669"/>
            <a:gd name="connsiteX5" fmla="*/ 5538108 w 5538108"/>
            <a:gd name="connsiteY5" fmla="*/ 1442357 h 2015669"/>
            <a:gd name="connsiteX6" fmla="*/ 2307545 w 5538108"/>
            <a:gd name="connsiteY6" fmla="*/ 1442357 h 2015669"/>
            <a:gd name="connsiteX7" fmla="*/ 3408998 w 5538108"/>
            <a:gd name="connsiteY7" fmla="*/ 2015669 h 2015669"/>
            <a:gd name="connsiteX8" fmla="*/ 923018 w 5538108"/>
            <a:gd name="connsiteY8" fmla="*/ 1442357 h 2015669"/>
            <a:gd name="connsiteX9" fmla="*/ 0 w 5538108"/>
            <a:gd name="connsiteY9" fmla="*/ 1442357 h 2015669"/>
            <a:gd name="connsiteX10" fmla="*/ 0 w 5538108"/>
            <a:gd name="connsiteY10" fmla="*/ 1201964 h 2015669"/>
            <a:gd name="connsiteX11" fmla="*/ 0 w 5538108"/>
            <a:gd name="connsiteY11" fmla="*/ 841375 h 2015669"/>
            <a:gd name="connsiteX12" fmla="*/ 0 w 5538108"/>
            <a:gd name="connsiteY12" fmla="*/ 841375 h 2015669"/>
            <a:gd name="connsiteX13" fmla="*/ 0 w 5538108"/>
            <a:gd name="connsiteY13" fmla="*/ 0 h 2015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38108" h="2015669">
              <a:moveTo>
                <a:pt x="0" y="0"/>
              </a:moveTo>
              <a:lnTo>
                <a:pt x="5538108" y="0"/>
              </a:lnTo>
              <a:lnTo>
                <a:pt x="5538108" y="841375"/>
              </a:lnTo>
              <a:lnTo>
                <a:pt x="5538108" y="841375"/>
              </a:lnTo>
              <a:lnTo>
                <a:pt x="5538108" y="1201964"/>
              </a:lnTo>
              <a:lnTo>
                <a:pt x="5538108" y="1442357"/>
              </a:lnTo>
              <a:lnTo>
                <a:pt x="2307545" y="1442357"/>
              </a:lnTo>
              <a:lnTo>
                <a:pt x="3408998" y="2015669"/>
              </a:lnTo>
              <a:lnTo>
                <a:pt x="923018" y="1442357"/>
              </a:lnTo>
              <a:lnTo>
                <a:pt x="0" y="1442357"/>
              </a:lnTo>
              <a:lnTo>
                <a:pt x="0" y="1201964"/>
              </a:lnTo>
              <a:lnTo>
                <a:pt x="0" y="841375"/>
              </a:lnTo>
              <a:lnTo>
                <a:pt x="0" y="841375"/>
              </a:lnTo>
              <a:lnTo>
                <a:pt x="0" y="0"/>
              </a:lnTo>
              <a:close/>
            </a:path>
          </a:pathLst>
        </a:cu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Teniendo en cuenta los factores internos y externos que afectan positiva o negativamente al proyecto se obtienen las fortalezas, oportunidades, debilidades y amenazas del proyecto. Y de ahí se derivan potencialidades, riesgos, desafíos y limitaciones sobre las que hay que proponer acciones.</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0.06232</cdr:x>
      <cdr:y>0.6178</cdr:y>
    </cdr:from>
    <cdr:to>
      <cdr:x>0.96796</cdr:x>
      <cdr:y>0.6178</cdr:y>
    </cdr:to>
    <cdr:cxnSp macro="">
      <cdr:nvCxnSpPr>
        <cdr:cNvPr id="5" name="4 Conector recto"/>
        <cdr:cNvCxnSpPr/>
      </cdr:nvCxnSpPr>
      <cdr:spPr>
        <a:xfrm xmlns:a="http://schemas.openxmlformats.org/drawingml/2006/main">
          <a:off x="397010" y="3187274"/>
          <a:ext cx="5769428"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0.49164</cdr:x>
      <cdr:y>0.03227</cdr:y>
    </cdr:from>
    <cdr:to>
      <cdr:x>0.49164</cdr:x>
      <cdr:y>0.84726</cdr:y>
    </cdr:to>
    <cdr:cxnSp macro="">
      <cdr:nvCxnSpPr>
        <cdr:cNvPr id="8" name="1 Conector recto"/>
        <cdr:cNvCxnSpPr/>
      </cdr:nvCxnSpPr>
      <cdr:spPr>
        <a:xfrm xmlns:a="http://schemas.openxmlformats.org/drawingml/2006/main" flipH="1">
          <a:off x="3132045" y="166488"/>
          <a:ext cx="1" cy="420460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3059207</xdr:colOff>
      <xdr:row>0</xdr:row>
      <xdr:rowOff>78442</xdr:rowOff>
    </xdr:from>
    <xdr:to>
      <xdr:col>5</xdr:col>
      <xdr:colOff>705971</xdr:colOff>
      <xdr:row>3</xdr:row>
      <xdr:rowOff>152808</xdr:rowOff>
    </xdr:to>
    <xdr:sp macro="" textlink="">
      <xdr:nvSpPr>
        <xdr:cNvPr id="2" name="AutoShape 65"/>
        <xdr:cNvSpPr>
          <a:spLocks noChangeArrowheads="1"/>
        </xdr:cNvSpPr>
      </xdr:nvSpPr>
      <xdr:spPr bwMode="auto">
        <a:xfrm>
          <a:off x="3059207" y="78442"/>
          <a:ext cx="6880411" cy="813954"/>
        </a:xfrm>
        <a:prstGeom prst="wedgeRectCallout">
          <a:avLst>
            <a:gd name="adj1" fmla="val -49159"/>
            <a:gd name="adj2" fmla="val 6782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Información sectorial tomada de CBBE (Central de Balances del Banco de España). En CBBE se puede descargar la Aplicación de Agregados Sectoriales (ASC) cuya dirección es http://app.bde.es/ASC_WWW/ASC_WWW.application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435429</xdr:colOff>
      <xdr:row>0</xdr:row>
      <xdr:rowOff>68036</xdr:rowOff>
    </xdr:from>
    <xdr:to>
      <xdr:col>7</xdr:col>
      <xdr:colOff>89647</xdr:colOff>
      <xdr:row>2</xdr:row>
      <xdr:rowOff>123265</xdr:rowOff>
    </xdr:to>
    <xdr:sp macro="" textlink="">
      <xdr:nvSpPr>
        <xdr:cNvPr id="2" name="AutoShape 65"/>
        <xdr:cNvSpPr>
          <a:spLocks noChangeArrowheads="1"/>
        </xdr:cNvSpPr>
      </xdr:nvSpPr>
      <xdr:spPr bwMode="auto">
        <a:xfrm>
          <a:off x="1197429" y="68036"/>
          <a:ext cx="4898571" cy="436229"/>
        </a:xfrm>
        <a:prstGeom prst="wedgeRectCallout">
          <a:avLst>
            <a:gd name="adj1" fmla="val 43259"/>
            <a:gd name="adj2" fmla="val 75534"/>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1400" b="0" i="0" baseline="0">
              <a:effectLst/>
              <a:latin typeface="Arial" pitchFamily="34" charset="0"/>
              <a:ea typeface="+mn-ea"/>
              <a:cs typeface="Arial" pitchFamily="34" charset="0"/>
            </a:rPr>
            <a:t>Estos asientos corresponden a una contabilidad más simplificada que la legislación vigente.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U32"/>
  <sheetViews>
    <sheetView showGridLines="0" zoomScale="70" zoomScaleNormal="70" workbookViewId="0">
      <selection activeCell="E7" sqref="E7"/>
    </sheetView>
  </sheetViews>
  <sheetFormatPr baseColWidth="10" defaultRowHeight="15" x14ac:dyDescent="0.25"/>
  <cols>
    <col min="1" max="1" width="3.42578125" customWidth="1"/>
    <col min="2" max="2" width="7.42578125" customWidth="1"/>
    <col min="3" max="3" width="2" customWidth="1"/>
    <col min="4" max="4" width="8.5703125" style="17" customWidth="1"/>
    <col min="5" max="5" width="4.7109375" style="17" customWidth="1"/>
    <col min="6" max="6" width="1.7109375" customWidth="1"/>
    <col min="7" max="7" width="63.7109375" style="17" customWidth="1"/>
    <col min="8" max="8" width="1.7109375" customWidth="1"/>
    <col min="9" max="9" width="5.140625" style="1" customWidth="1"/>
    <col min="10" max="10" width="13.5703125" customWidth="1"/>
    <col min="11" max="12" width="11.42578125" hidden="1" customWidth="1"/>
    <col min="13" max="13" width="20.140625" customWidth="1"/>
    <col min="17" max="17" width="4.42578125" customWidth="1"/>
    <col min="22" max="22" width="37.7109375" customWidth="1"/>
  </cols>
  <sheetData>
    <row r="1" spans="2:21" ht="17.25" customHeight="1" thickBot="1" x14ac:dyDescent="0.3">
      <c r="J1" s="131"/>
      <c r="K1" s="131"/>
      <c r="L1" s="131"/>
      <c r="M1" s="131"/>
      <c r="N1" s="131"/>
      <c r="O1" s="131"/>
      <c r="P1" s="131"/>
      <c r="Q1" s="131"/>
      <c r="R1" s="131"/>
      <c r="S1" s="131"/>
      <c r="T1" s="131"/>
      <c r="U1" s="131"/>
    </row>
    <row r="2" spans="2:21" ht="21" customHeight="1" x14ac:dyDescent="0.3">
      <c r="B2" s="404" t="s">
        <v>737</v>
      </c>
      <c r="C2" s="226"/>
      <c r="D2" s="226"/>
      <c r="E2" s="227"/>
      <c r="F2" s="226"/>
      <c r="G2" s="226"/>
      <c r="H2" s="226"/>
      <c r="I2" s="228"/>
      <c r="J2" s="131"/>
      <c r="K2" s="131"/>
      <c r="L2" s="131"/>
      <c r="M2" s="395"/>
      <c r="N2" s="396"/>
      <c r="O2" s="396"/>
      <c r="P2" s="396"/>
      <c r="Q2" s="397"/>
      <c r="R2" s="131"/>
      <c r="S2" s="131"/>
      <c r="T2" s="131"/>
      <c r="U2" s="131"/>
    </row>
    <row r="3" spans="2:21" ht="21" customHeight="1" x14ac:dyDescent="0.3">
      <c r="B3" s="229" t="s">
        <v>834</v>
      </c>
      <c r="C3" s="230"/>
      <c r="D3" s="231"/>
      <c r="E3" s="232"/>
      <c r="F3" s="230"/>
      <c r="G3" s="230"/>
      <c r="H3" s="230"/>
      <c r="I3" s="233"/>
      <c r="J3" s="131"/>
      <c r="K3" s="131"/>
      <c r="L3" s="131"/>
      <c r="M3" s="398"/>
      <c r="N3" s="399"/>
      <c r="O3" s="399"/>
      <c r="P3" s="399"/>
      <c r="Q3" s="400"/>
      <c r="R3" s="131"/>
      <c r="S3" s="131"/>
      <c r="T3" s="131"/>
      <c r="U3" s="131"/>
    </row>
    <row r="4" spans="2:21" ht="21" customHeight="1" thickBot="1" x14ac:dyDescent="0.35">
      <c r="B4" s="290" t="s">
        <v>736</v>
      </c>
      <c r="C4" s="234"/>
      <c r="D4" s="235"/>
      <c r="E4" s="236"/>
      <c r="F4" s="234"/>
      <c r="G4" s="234"/>
      <c r="H4" s="234"/>
      <c r="I4" s="237"/>
      <c r="J4" s="131"/>
      <c r="K4" s="131"/>
      <c r="L4" s="131"/>
      <c r="M4" s="401"/>
      <c r="N4" s="402"/>
      <c r="O4" s="402"/>
      <c r="P4" s="402"/>
      <c r="Q4" s="403"/>
      <c r="R4" s="131"/>
      <c r="S4" s="131"/>
      <c r="T4" s="131"/>
      <c r="U4" s="131"/>
    </row>
    <row r="5" spans="2:21" ht="21" x14ac:dyDescent="0.35">
      <c r="D5"/>
      <c r="E5" s="1"/>
      <c r="F5" s="18"/>
      <c r="G5" s="5"/>
      <c r="I5" s="131"/>
      <c r="J5" s="131"/>
      <c r="K5" s="131"/>
      <c r="L5" s="131"/>
      <c r="M5" s="131"/>
      <c r="N5" s="131"/>
      <c r="O5" s="131"/>
      <c r="P5" s="131"/>
      <c r="Q5" s="131"/>
    </row>
    <row r="6" spans="2:21" ht="5.25" customHeight="1" thickBot="1" x14ac:dyDescent="0.4">
      <c r="D6"/>
      <c r="E6" s="1"/>
      <c r="F6" s="18"/>
      <c r="G6" s="5"/>
      <c r="I6" s="131"/>
      <c r="J6" s="131"/>
      <c r="K6" s="131"/>
      <c r="L6" s="131"/>
      <c r="M6" s="131"/>
      <c r="N6" s="131"/>
      <c r="O6" s="131"/>
      <c r="P6" s="131"/>
      <c r="Q6" s="131"/>
    </row>
    <row r="7" spans="2:21" ht="21" customHeight="1" thickBot="1" x14ac:dyDescent="0.4">
      <c r="D7"/>
      <c r="E7" s="291" t="s">
        <v>513</v>
      </c>
      <c r="F7" s="292" t="s">
        <v>682</v>
      </c>
      <c r="G7" s="309"/>
      <c r="I7" s="131"/>
      <c r="J7" s="131"/>
      <c r="K7" s="131"/>
      <c r="L7" s="131"/>
      <c r="M7" s="131"/>
      <c r="N7" s="131"/>
      <c r="O7" s="131"/>
      <c r="P7" s="131"/>
      <c r="Q7" s="131"/>
    </row>
    <row r="8" spans="2:21" ht="6" customHeight="1" thickBot="1" x14ac:dyDescent="0.4">
      <c r="D8"/>
      <c r="E8" s="1"/>
      <c r="F8" s="18"/>
      <c r="G8" s="5"/>
      <c r="I8"/>
    </row>
    <row r="9" spans="2:21" ht="21" customHeight="1" thickBot="1" x14ac:dyDescent="0.4">
      <c r="D9"/>
      <c r="E9" s="291" t="s">
        <v>514</v>
      </c>
      <c r="F9" s="292" t="s">
        <v>657</v>
      </c>
      <c r="G9" s="309"/>
      <c r="I9"/>
    </row>
    <row r="10" spans="2:21" ht="5.25" customHeight="1" thickBot="1" x14ac:dyDescent="0.4">
      <c r="D10"/>
      <c r="E10" s="1"/>
      <c r="F10" s="18"/>
      <c r="G10" s="5"/>
      <c r="I10"/>
    </row>
    <row r="11" spans="2:21" ht="21" customHeight="1" thickBot="1" x14ac:dyDescent="0.4">
      <c r="D11"/>
      <c r="E11" s="291" t="s">
        <v>515</v>
      </c>
      <c r="F11" s="292" t="s">
        <v>717</v>
      </c>
      <c r="G11" s="309"/>
      <c r="I11"/>
    </row>
    <row r="12" spans="2:21" ht="6" customHeight="1" thickBot="1" x14ac:dyDescent="0.4">
      <c r="D12"/>
      <c r="E12" s="1"/>
      <c r="F12" s="18"/>
      <c r="G12" s="5"/>
      <c r="I12"/>
    </row>
    <row r="13" spans="2:21" ht="21" customHeight="1" thickBot="1" x14ac:dyDescent="0.4">
      <c r="D13"/>
      <c r="E13" s="291" t="s">
        <v>59</v>
      </c>
      <c r="F13" s="292" t="s">
        <v>681</v>
      </c>
      <c r="G13" s="309"/>
      <c r="I13" s="308"/>
    </row>
    <row r="14" spans="2:21" ht="5.25" customHeight="1" thickBot="1" x14ac:dyDescent="0.4">
      <c r="D14"/>
      <c r="E14" s="1"/>
      <c r="F14" s="18"/>
      <c r="G14" s="5"/>
      <c r="I14" s="131"/>
      <c r="J14" s="131"/>
      <c r="K14" s="131"/>
      <c r="L14" s="131"/>
      <c r="M14" s="131"/>
      <c r="N14" s="131"/>
      <c r="O14" s="131"/>
      <c r="P14" s="131"/>
      <c r="Q14" s="131"/>
    </row>
    <row r="15" spans="2:21" ht="21" customHeight="1" thickBot="1" x14ac:dyDescent="0.4">
      <c r="D15"/>
      <c r="E15" s="291" t="s">
        <v>60</v>
      </c>
      <c r="F15" s="292" t="s">
        <v>696</v>
      </c>
      <c r="G15" s="309"/>
      <c r="I15"/>
      <c r="J15" s="131"/>
      <c r="K15" s="131"/>
      <c r="L15" s="131"/>
      <c r="M15" s="131"/>
      <c r="N15" s="131"/>
      <c r="O15" s="131"/>
      <c r="P15" s="131"/>
      <c r="Q15" s="131"/>
    </row>
    <row r="16" spans="2:21" ht="6" customHeight="1" thickBot="1" x14ac:dyDescent="0.4">
      <c r="D16"/>
      <c r="E16" s="1"/>
      <c r="F16" s="18"/>
      <c r="G16" s="5"/>
      <c r="I16"/>
      <c r="J16" s="131"/>
      <c r="K16" s="131"/>
      <c r="L16" s="131"/>
      <c r="M16" s="131"/>
      <c r="N16" s="131"/>
      <c r="O16" s="131"/>
      <c r="P16" s="131"/>
      <c r="Q16" s="131"/>
    </row>
    <row r="17" spans="4:17" ht="21" customHeight="1" thickBot="1" x14ac:dyDescent="0.4">
      <c r="D17"/>
      <c r="E17" s="291" t="s">
        <v>61</v>
      </c>
      <c r="F17" s="292" t="s">
        <v>699</v>
      </c>
      <c r="G17" s="309"/>
      <c r="I17"/>
      <c r="J17" s="131"/>
      <c r="K17" s="131"/>
      <c r="L17" s="131"/>
      <c r="M17" s="131"/>
      <c r="N17" s="131"/>
      <c r="O17" s="131"/>
      <c r="P17" s="131"/>
      <c r="Q17" s="131"/>
    </row>
    <row r="18" spans="4:17" ht="5.25" customHeight="1" thickBot="1" x14ac:dyDescent="0.4">
      <c r="D18"/>
      <c r="E18" s="1"/>
      <c r="F18" s="18"/>
      <c r="G18" s="5"/>
      <c r="I18"/>
      <c r="J18" s="131"/>
      <c r="K18" s="131"/>
      <c r="L18" s="131"/>
      <c r="M18" s="131"/>
      <c r="N18" s="131"/>
      <c r="O18" s="131"/>
      <c r="P18" s="131"/>
      <c r="Q18" s="131"/>
    </row>
    <row r="19" spans="4:17" ht="21" customHeight="1" thickBot="1" x14ac:dyDescent="0.4">
      <c r="D19"/>
      <c r="E19" s="291" t="s">
        <v>62</v>
      </c>
      <c r="F19" s="292" t="s">
        <v>730</v>
      </c>
      <c r="G19" s="309"/>
      <c r="I19"/>
      <c r="J19" s="131"/>
      <c r="K19" s="131"/>
      <c r="L19" s="131"/>
      <c r="M19" s="131"/>
      <c r="N19" s="131"/>
      <c r="O19" s="131"/>
      <c r="P19" s="131"/>
      <c r="Q19" s="131"/>
    </row>
    <row r="20" spans="4:17" s="131" customFormat="1" ht="5.25" customHeight="1" thickBot="1" x14ac:dyDescent="0.4">
      <c r="E20" s="1"/>
      <c r="F20" s="18"/>
      <c r="G20" s="5"/>
      <c r="H20"/>
      <c r="I20"/>
    </row>
    <row r="21" spans="4:17" ht="21" customHeight="1" thickBot="1" x14ac:dyDescent="0.4">
      <c r="D21"/>
      <c r="E21" s="291" t="s">
        <v>63</v>
      </c>
      <c r="F21" s="292" t="s">
        <v>731</v>
      </c>
      <c r="G21" s="309"/>
      <c r="I21"/>
      <c r="J21" s="131"/>
      <c r="K21" s="131"/>
      <c r="L21" s="131"/>
      <c r="M21" s="131"/>
      <c r="N21" s="131"/>
      <c r="O21" s="131"/>
      <c r="P21" s="131"/>
      <c r="Q21" s="131"/>
    </row>
    <row r="22" spans="4:17" s="131" customFormat="1" ht="6" customHeight="1" thickBot="1" x14ac:dyDescent="0.4">
      <c r="E22" s="1"/>
      <c r="F22" s="18"/>
      <c r="G22" s="5"/>
    </row>
    <row r="23" spans="4:17" ht="21" customHeight="1" thickBot="1" x14ac:dyDescent="0.4">
      <c r="D23"/>
      <c r="E23" s="291">
        <v>9</v>
      </c>
      <c r="F23" s="292" t="s">
        <v>516</v>
      </c>
      <c r="G23" s="309"/>
      <c r="I23"/>
      <c r="J23" s="131"/>
      <c r="K23" s="131"/>
      <c r="L23" s="131"/>
      <c r="M23" s="131"/>
      <c r="N23" s="131"/>
      <c r="O23" s="131"/>
      <c r="P23" s="131"/>
      <c r="Q23" s="131"/>
    </row>
    <row r="24" spans="4:17" ht="6" customHeight="1" thickBot="1" x14ac:dyDescent="0.4">
      <c r="D24"/>
      <c r="E24" s="1"/>
      <c r="F24" s="18"/>
      <c r="G24" s="5"/>
      <c r="I24"/>
      <c r="J24" s="131"/>
      <c r="K24" s="131"/>
      <c r="L24" s="131"/>
      <c r="M24" s="131"/>
      <c r="N24" s="131"/>
      <c r="O24" s="131"/>
      <c r="P24" s="131"/>
      <c r="Q24" s="131"/>
    </row>
    <row r="25" spans="4:17" ht="21" customHeight="1" thickBot="1" x14ac:dyDescent="0.4">
      <c r="D25"/>
      <c r="E25" s="291">
        <v>10</v>
      </c>
      <c r="F25" s="292" t="s">
        <v>64</v>
      </c>
      <c r="G25" s="309"/>
      <c r="I25"/>
      <c r="J25" s="131"/>
      <c r="K25" s="131"/>
      <c r="L25" s="131"/>
      <c r="M25" s="131"/>
      <c r="N25" s="131"/>
      <c r="O25" s="131"/>
      <c r="P25" s="131"/>
      <c r="Q25" s="131"/>
    </row>
    <row r="26" spans="4:17" ht="5.25" customHeight="1" thickBot="1" x14ac:dyDescent="0.4">
      <c r="D26"/>
      <c r="E26" s="1"/>
      <c r="F26" s="18"/>
      <c r="G26" s="5"/>
      <c r="I26"/>
    </row>
    <row r="27" spans="4:17" ht="21" customHeight="1" thickBot="1" x14ac:dyDescent="0.4">
      <c r="D27"/>
      <c r="E27" s="291">
        <v>11</v>
      </c>
      <c r="F27" s="292" t="s">
        <v>65</v>
      </c>
      <c r="G27" s="309"/>
      <c r="I27"/>
    </row>
    <row r="28" spans="4:17" ht="6.75" customHeight="1" thickBot="1" x14ac:dyDescent="0.4">
      <c r="D28"/>
      <c r="E28" s="1"/>
      <c r="F28" s="18"/>
      <c r="G28" s="5"/>
      <c r="I28"/>
    </row>
    <row r="29" spans="4:17" s="131" customFormat="1" ht="20.25" customHeight="1" thickBot="1" x14ac:dyDescent="0.4">
      <c r="E29" s="291">
        <v>12</v>
      </c>
      <c r="F29" s="292" t="s">
        <v>735</v>
      </c>
      <c r="G29" s="309"/>
      <c r="H29"/>
      <c r="I29"/>
    </row>
    <row r="30" spans="4:17" s="131" customFormat="1" ht="6.75" customHeight="1" thickBot="1" x14ac:dyDescent="0.4">
      <c r="E30" s="1"/>
      <c r="F30" s="18"/>
      <c r="G30" s="5"/>
      <c r="H30"/>
      <c r="I30"/>
    </row>
    <row r="31" spans="4:17" s="131" customFormat="1" ht="20.25" customHeight="1" thickBot="1" x14ac:dyDescent="0.4">
      <c r="E31" s="291">
        <v>13</v>
      </c>
      <c r="F31" s="292" t="s">
        <v>644</v>
      </c>
      <c r="G31" s="309"/>
    </row>
    <row r="32" spans="4:17" s="131" customFormat="1" ht="7.5" customHeight="1" x14ac:dyDescent="0.35">
      <c r="E32" s="1"/>
      <c r="F32" s="18"/>
      <c r="G32" s="5"/>
    </row>
  </sheetData>
  <hyperlinks>
    <hyperlink ref="F7" location="Indicadores!B2" display="Cuentas anuales"/>
    <hyperlink ref="F9" location="Indicadores!B86" display="Evolución de las ventas"/>
    <hyperlink ref="F13" location="Indicadores!A102" display="Rentabilidad"/>
    <hyperlink ref="F15" location="Indicadores!A160" display="Liquidez"/>
    <hyperlink ref="F17" location="Indicadores!A216" display="Endeudamiento"/>
    <hyperlink ref="F19" location="Indicadores!A292" display="Periodo medio de maduración"/>
    <hyperlink ref="F23" location="Indicadores!A337" display="Diagrama de Pareto de los clientes"/>
    <hyperlink ref="F25" location="Indicadores!A378" display="Lealtad de los clientes"/>
    <hyperlink ref="F27" location="Indicadores!A427" display="Rendimiento por cliente"/>
    <hyperlink ref="F29" location="Indicadores!A464" display="Morosidad"/>
    <hyperlink ref="F31" location="Indicadores!A483" display="Imagen"/>
    <hyperlink ref="F21" location="Indicadores!A343" display="Tesorería. Cobros y pagos previstos"/>
    <hyperlink ref="F11" location="Indicadores!B86" display="Evolución de las ventas"/>
    <hyperlink ref="F7:G7" location="Indicadores!B4" display="Cuentas anuales"/>
    <hyperlink ref="E9:G9" location="Indicadores!B16" display="2."/>
    <hyperlink ref="E11:F11" location="Indicadores!B228" display="3."/>
    <hyperlink ref="E11:G11" location="Indicadores!B63" display="3."/>
    <hyperlink ref="E13:G13" location="Indicadores!B103" display="4."/>
    <hyperlink ref="E15:G15" location="Indicadores!B154" display="5."/>
    <hyperlink ref="E17:G17" location="Indicadores!B174" display="6."/>
    <hyperlink ref="E19:G19" location="Indicadores!A201" display="7."/>
    <hyperlink ref="E21:G21" location="Indicadores!A274" display="8."/>
    <hyperlink ref="E23:G23" location="Indicadores!A828" display="Indicadores!A828"/>
    <hyperlink ref="E25:G25" location="Indicadores!A1038" display="Indicadores!A1038"/>
    <hyperlink ref="E27:G27" location="Indicadores!A1070" display="Indicadores!A1070"/>
    <hyperlink ref="E29:G29" location="Indicadores!A1110" display="Indicadores!A1110"/>
    <hyperlink ref="E31:G31" location="Indicadores!A1124" display="Indicadores!A1124"/>
    <hyperlink ref="E7:G7" location="Indicadores!B4" display="1."/>
  </hyperlinks>
  <pageMargins left="0.7" right="0.7" top="0.75" bottom="0.75" header="0.3" footer="0.3"/>
  <ignoredErrors>
    <ignoredError sqref="E7 E9 E11 E13 E15 E17 E19 E2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B1193"/>
  <sheetViews>
    <sheetView tabSelected="1" topLeftCell="B1" zoomScale="70" zoomScaleNormal="70" zoomScalePageLayoutView="85" workbookViewId="0">
      <selection activeCell="B4" sqref="B4"/>
    </sheetView>
  </sheetViews>
  <sheetFormatPr baseColWidth="10" defaultRowHeight="15.75" x14ac:dyDescent="0.25"/>
  <cols>
    <col min="1" max="1" width="1.7109375" style="131" customWidth="1"/>
    <col min="2" max="2" width="2.7109375" style="1" customWidth="1"/>
    <col min="3" max="3" width="47.140625" style="4" customWidth="1"/>
    <col min="4" max="4" width="15.7109375" style="6" customWidth="1"/>
    <col min="5" max="6" width="13.5703125" style="131" customWidth="1"/>
    <col min="7" max="8" width="13.85546875" style="131" customWidth="1"/>
    <col min="9" max="10" width="13.7109375" style="131" customWidth="1"/>
    <col min="11" max="11" width="14.42578125" style="131" customWidth="1"/>
    <col min="12" max="12" width="13.85546875" style="131" customWidth="1"/>
    <col min="13" max="15" width="15.28515625" style="131" bestFit="1" customWidth="1"/>
    <col min="16" max="16" width="13.85546875" style="131" bestFit="1" customWidth="1"/>
    <col min="17" max="17" width="13.7109375" style="131" bestFit="1" customWidth="1"/>
    <col min="18" max="19" width="11.42578125" style="131"/>
    <col min="20" max="20" width="15.28515625" style="131" bestFit="1" customWidth="1"/>
    <col min="21" max="21" width="11" style="131" bestFit="1" customWidth="1"/>
    <col min="22" max="22" width="13.85546875" style="131" bestFit="1" customWidth="1"/>
    <col min="23" max="23" width="12.140625" style="131" bestFit="1" customWidth="1"/>
    <col min="24" max="24" width="7.28515625" style="131" bestFit="1" customWidth="1"/>
    <col min="25" max="25" width="13" style="131" bestFit="1" customWidth="1"/>
    <col min="26" max="27" width="11.140625" style="131" bestFit="1" customWidth="1"/>
    <col min="28" max="28" width="11.5703125" style="131" bestFit="1" customWidth="1"/>
    <col min="29" max="29" width="8.5703125" style="131" bestFit="1" customWidth="1"/>
    <col min="30" max="30" width="11" style="131" bestFit="1" customWidth="1"/>
    <col min="31" max="31" width="11.5703125" style="131" bestFit="1" customWidth="1"/>
    <col min="32" max="16384" width="11.42578125" style="131"/>
  </cols>
  <sheetData>
    <row r="1" spans="2:18" ht="16.5" thickBot="1" x14ac:dyDescent="0.3"/>
    <row r="2" spans="2:18" ht="24" customHeight="1" thickBot="1" x14ac:dyDescent="0.4">
      <c r="C2" s="485" t="s">
        <v>765</v>
      </c>
    </row>
    <row r="3" spans="2:18" ht="16.5" thickBot="1" x14ac:dyDescent="0.3">
      <c r="E3" s="338"/>
    </row>
    <row r="4" spans="2:18" ht="16.5" thickBot="1" x14ac:dyDescent="0.3">
      <c r="B4" s="340"/>
      <c r="C4" s="247"/>
      <c r="D4" s="246"/>
      <c r="E4" s="341"/>
      <c r="F4" s="22"/>
      <c r="G4" s="22"/>
      <c r="H4" s="22"/>
      <c r="I4" s="22"/>
      <c r="J4" s="22"/>
      <c r="K4" s="22"/>
      <c r="L4" s="22"/>
      <c r="M4" s="22"/>
      <c r="N4" s="22"/>
      <c r="O4" s="22"/>
      <c r="P4" s="22"/>
      <c r="Q4" s="22"/>
      <c r="R4" s="23"/>
    </row>
    <row r="5" spans="2:18" ht="19.5" thickBot="1" x14ac:dyDescent="0.35">
      <c r="B5" s="51"/>
      <c r="C5" s="302" t="str">
        <f>Modelo!F7</f>
        <v>Datos sobre el proyecto</v>
      </c>
      <c r="D5" s="25"/>
      <c r="E5" s="342"/>
      <c r="F5" s="26"/>
      <c r="G5" s="26"/>
      <c r="H5" s="26"/>
      <c r="I5" s="26"/>
      <c r="J5" s="26"/>
      <c r="K5" s="26"/>
      <c r="L5" s="26"/>
      <c r="M5" s="26"/>
      <c r="N5" s="26"/>
      <c r="O5" s="26"/>
      <c r="P5" s="26"/>
      <c r="Q5" s="26"/>
      <c r="R5" s="27"/>
    </row>
    <row r="6" spans="2:18" x14ac:dyDescent="0.25">
      <c r="B6" s="51"/>
      <c r="C6" s="24"/>
      <c r="D6" s="25"/>
      <c r="E6" s="342"/>
      <c r="F6" s="26"/>
      <c r="G6" s="26"/>
      <c r="H6" s="26"/>
      <c r="I6" s="26"/>
      <c r="J6" s="26"/>
      <c r="K6" s="26"/>
      <c r="L6" s="26"/>
      <c r="M6" s="26"/>
      <c r="N6" s="26"/>
      <c r="O6" s="26"/>
      <c r="P6" s="26"/>
      <c r="Q6" s="26"/>
      <c r="R6" s="27"/>
    </row>
    <row r="7" spans="2:18" x14ac:dyDescent="0.25">
      <c r="B7" s="51"/>
      <c r="C7" s="344" t="s">
        <v>683</v>
      </c>
      <c r="D7" s="345"/>
      <c r="E7" s="342"/>
      <c r="F7" s="26"/>
      <c r="G7" s="26"/>
      <c r="H7" s="26"/>
      <c r="I7" s="26"/>
      <c r="J7" s="26"/>
      <c r="K7" s="26"/>
      <c r="L7" s="26"/>
      <c r="M7" s="26"/>
      <c r="N7" s="26"/>
      <c r="O7" s="26"/>
      <c r="P7" s="26"/>
      <c r="Q7" s="26"/>
      <c r="R7" s="27"/>
    </row>
    <row r="8" spans="2:18" x14ac:dyDescent="0.25">
      <c r="B8" s="51"/>
      <c r="C8" s="346" t="s">
        <v>684</v>
      </c>
      <c r="D8" s="347"/>
      <c r="E8" s="342"/>
      <c r="F8" s="26"/>
      <c r="G8" s="26"/>
      <c r="H8" s="26"/>
      <c r="I8" s="26"/>
      <c r="J8" s="26"/>
      <c r="K8" s="26"/>
      <c r="L8" s="26"/>
      <c r="M8" s="26"/>
      <c r="N8" s="26"/>
      <c r="O8" s="26"/>
      <c r="P8" s="26"/>
      <c r="Q8" s="26"/>
      <c r="R8" s="27"/>
    </row>
    <row r="9" spans="2:18" x14ac:dyDescent="0.25">
      <c r="B9" s="51"/>
      <c r="C9" s="24"/>
      <c r="D9" s="25"/>
      <c r="E9" s="342"/>
      <c r="F9" s="26"/>
      <c r="G9" s="26"/>
      <c r="H9" s="26"/>
      <c r="I9" s="26"/>
      <c r="J9" s="26"/>
      <c r="K9" s="26"/>
      <c r="L9" s="26"/>
      <c r="M9" s="26"/>
      <c r="N9" s="26"/>
      <c r="O9" s="26"/>
      <c r="P9" s="26"/>
      <c r="Q9" s="26"/>
      <c r="R9" s="27"/>
    </row>
    <row r="10" spans="2:18" ht="15.75" customHeight="1" x14ac:dyDescent="0.25">
      <c r="B10" s="51"/>
      <c r="C10" s="11" t="s">
        <v>828</v>
      </c>
      <c r="D10" s="633" t="s">
        <v>767</v>
      </c>
      <c r="E10" s="634"/>
      <c r="F10" s="634"/>
      <c r="G10" s="634"/>
      <c r="H10" s="634"/>
      <c r="I10" s="634"/>
      <c r="J10" s="634"/>
      <c r="K10" s="634"/>
      <c r="L10" s="634"/>
      <c r="M10" s="634"/>
      <c r="N10" s="634"/>
      <c r="O10" s="634"/>
      <c r="P10" s="634"/>
      <c r="Q10" s="635"/>
      <c r="R10" s="27"/>
    </row>
    <row r="11" spans="2:18" ht="15.75" customHeight="1" x14ac:dyDescent="0.25">
      <c r="B11" s="51"/>
      <c r="C11" s="24"/>
      <c r="D11" s="636"/>
      <c r="E11" s="637"/>
      <c r="F11" s="637"/>
      <c r="G11" s="637"/>
      <c r="H11" s="637"/>
      <c r="I11" s="637"/>
      <c r="J11" s="637"/>
      <c r="K11" s="637"/>
      <c r="L11" s="637"/>
      <c r="M11" s="637"/>
      <c r="N11" s="637"/>
      <c r="O11" s="637"/>
      <c r="P11" s="637"/>
      <c r="Q11" s="638"/>
      <c r="R11" s="27"/>
    </row>
    <row r="12" spans="2:18" ht="15.75" customHeight="1" x14ac:dyDescent="0.25">
      <c r="B12" s="51"/>
      <c r="C12" s="24"/>
      <c r="D12" s="636"/>
      <c r="E12" s="637"/>
      <c r="F12" s="637"/>
      <c r="G12" s="637"/>
      <c r="H12" s="637"/>
      <c r="I12" s="637"/>
      <c r="J12" s="637"/>
      <c r="K12" s="637"/>
      <c r="L12" s="637"/>
      <c r="M12" s="637"/>
      <c r="N12" s="637"/>
      <c r="O12" s="637"/>
      <c r="P12" s="637"/>
      <c r="Q12" s="638"/>
      <c r="R12" s="27"/>
    </row>
    <row r="13" spans="2:18" ht="15.75" customHeight="1" x14ac:dyDescent="0.25">
      <c r="B13" s="51"/>
      <c r="C13" s="24"/>
      <c r="D13" s="636"/>
      <c r="E13" s="637"/>
      <c r="F13" s="637"/>
      <c r="G13" s="637"/>
      <c r="H13" s="637"/>
      <c r="I13" s="637"/>
      <c r="J13" s="637"/>
      <c r="K13" s="637"/>
      <c r="L13" s="637"/>
      <c r="M13" s="637"/>
      <c r="N13" s="637"/>
      <c r="O13" s="637"/>
      <c r="P13" s="637"/>
      <c r="Q13" s="638"/>
      <c r="R13" s="27"/>
    </row>
    <row r="14" spans="2:18" ht="15.75" customHeight="1" x14ac:dyDescent="0.25">
      <c r="B14" s="51"/>
      <c r="C14" s="24"/>
      <c r="D14" s="639"/>
      <c r="E14" s="640"/>
      <c r="F14" s="640"/>
      <c r="G14" s="640"/>
      <c r="H14" s="640"/>
      <c r="I14" s="640"/>
      <c r="J14" s="640"/>
      <c r="K14" s="640"/>
      <c r="L14" s="640"/>
      <c r="M14" s="640"/>
      <c r="N14" s="640"/>
      <c r="O14" s="640"/>
      <c r="P14" s="640"/>
      <c r="Q14" s="641"/>
      <c r="R14" s="27"/>
    </row>
    <row r="15" spans="2:18" x14ac:dyDescent="0.25">
      <c r="B15" s="51"/>
      <c r="C15" s="24"/>
      <c r="D15" s="25"/>
      <c r="E15" s="342"/>
      <c r="F15" s="26"/>
      <c r="G15" s="26"/>
      <c r="H15" s="26"/>
      <c r="I15" s="26"/>
      <c r="J15" s="26"/>
      <c r="K15" s="26"/>
      <c r="L15" s="26"/>
      <c r="M15" s="26"/>
      <c r="N15" s="26"/>
      <c r="O15" s="26"/>
      <c r="P15" s="26"/>
      <c r="Q15" s="26"/>
      <c r="R15" s="27"/>
    </row>
    <row r="16" spans="2:18" ht="16.5" thickBot="1" x14ac:dyDescent="0.3">
      <c r="B16" s="51"/>
      <c r="C16" s="24"/>
      <c r="D16" s="25"/>
      <c r="E16" s="342"/>
      <c r="F16" s="26"/>
      <c r="G16" s="26"/>
      <c r="H16" s="26"/>
      <c r="I16" s="26"/>
      <c r="J16" s="26"/>
      <c r="K16" s="26"/>
      <c r="L16" s="26"/>
      <c r="M16" s="26"/>
      <c r="N16" s="26"/>
      <c r="O16" s="26"/>
      <c r="P16" s="26"/>
      <c r="Q16" s="26"/>
      <c r="R16" s="27"/>
    </row>
    <row r="17" spans="2:18" ht="19.5" thickBot="1" x14ac:dyDescent="0.35">
      <c r="B17" s="51"/>
      <c r="C17" s="302" t="str">
        <f>Modelo!F9</f>
        <v>Estudio de mercado</v>
      </c>
      <c r="D17" s="25"/>
      <c r="E17" s="342"/>
      <c r="F17" s="26"/>
      <c r="G17" s="26"/>
      <c r="H17" s="26"/>
      <c r="I17" s="26"/>
      <c r="J17" s="26"/>
      <c r="K17" s="26"/>
      <c r="L17" s="26"/>
      <c r="M17" s="26"/>
      <c r="N17" s="26"/>
      <c r="O17" s="26"/>
      <c r="P17" s="26"/>
      <c r="Q17" s="26"/>
      <c r="R17" s="27"/>
    </row>
    <row r="18" spans="2:18" x14ac:dyDescent="0.25">
      <c r="B18" s="51"/>
      <c r="C18" s="24"/>
      <c r="D18" s="25"/>
      <c r="E18" s="342"/>
      <c r="F18" s="26"/>
      <c r="G18" s="26"/>
      <c r="H18" s="26"/>
      <c r="I18" s="26"/>
      <c r="J18" s="26"/>
      <c r="K18" s="26"/>
      <c r="L18" s="26"/>
      <c r="M18" s="26"/>
      <c r="N18" s="26"/>
      <c r="O18" s="26"/>
      <c r="P18" s="26"/>
      <c r="Q18" s="26"/>
      <c r="R18" s="27"/>
    </row>
    <row r="19" spans="2:18" ht="15" customHeight="1" x14ac:dyDescent="0.25">
      <c r="B19" s="51"/>
      <c r="C19" s="11" t="s">
        <v>685</v>
      </c>
      <c r="D19" s="633" t="s">
        <v>766</v>
      </c>
      <c r="E19" s="634"/>
      <c r="F19" s="634"/>
      <c r="G19" s="634"/>
      <c r="H19" s="634"/>
      <c r="I19" s="634"/>
      <c r="J19" s="634"/>
      <c r="K19" s="634"/>
      <c r="L19" s="634"/>
      <c r="M19" s="634"/>
      <c r="N19" s="634"/>
      <c r="O19" s="634"/>
      <c r="P19" s="634"/>
      <c r="Q19" s="635"/>
      <c r="R19" s="27"/>
    </row>
    <row r="20" spans="2:18" ht="15" customHeight="1" x14ac:dyDescent="0.25">
      <c r="B20" s="51"/>
      <c r="C20" s="24"/>
      <c r="D20" s="636"/>
      <c r="E20" s="637"/>
      <c r="F20" s="637"/>
      <c r="G20" s="637"/>
      <c r="H20" s="637"/>
      <c r="I20" s="637"/>
      <c r="J20" s="637"/>
      <c r="K20" s="637"/>
      <c r="L20" s="637"/>
      <c r="M20" s="637"/>
      <c r="N20" s="637"/>
      <c r="O20" s="637"/>
      <c r="P20" s="637"/>
      <c r="Q20" s="638"/>
      <c r="R20" s="27"/>
    </row>
    <row r="21" spans="2:18" ht="15" customHeight="1" x14ac:dyDescent="0.25">
      <c r="B21" s="51"/>
      <c r="C21" s="24"/>
      <c r="D21" s="636"/>
      <c r="E21" s="637"/>
      <c r="F21" s="637"/>
      <c r="G21" s="637"/>
      <c r="H21" s="637"/>
      <c r="I21" s="637"/>
      <c r="J21" s="637"/>
      <c r="K21" s="637"/>
      <c r="L21" s="637"/>
      <c r="M21" s="637"/>
      <c r="N21" s="637"/>
      <c r="O21" s="637"/>
      <c r="P21" s="637"/>
      <c r="Q21" s="638"/>
      <c r="R21" s="27"/>
    </row>
    <row r="22" spans="2:18" ht="15" customHeight="1" x14ac:dyDescent="0.25">
      <c r="B22" s="51"/>
      <c r="C22" s="24"/>
      <c r="D22" s="636"/>
      <c r="E22" s="637"/>
      <c r="F22" s="637"/>
      <c r="G22" s="637"/>
      <c r="H22" s="637"/>
      <c r="I22" s="637"/>
      <c r="J22" s="637"/>
      <c r="K22" s="637"/>
      <c r="L22" s="637"/>
      <c r="M22" s="637"/>
      <c r="N22" s="637"/>
      <c r="O22" s="637"/>
      <c r="P22" s="637"/>
      <c r="Q22" s="638"/>
      <c r="R22" s="27"/>
    </row>
    <row r="23" spans="2:18" ht="15" customHeight="1" x14ac:dyDescent="0.25">
      <c r="B23" s="51"/>
      <c r="C23" s="24"/>
      <c r="D23" s="639"/>
      <c r="E23" s="640"/>
      <c r="F23" s="640"/>
      <c r="G23" s="640"/>
      <c r="H23" s="640"/>
      <c r="I23" s="640"/>
      <c r="J23" s="640"/>
      <c r="K23" s="640"/>
      <c r="L23" s="640"/>
      <c r="M23" s="640"/>
      <c r="N23" s="640"/>
      <c r="O23" s="640"/>
      <c r="P23" s="640"/>
      <c r="Q23" s="641"/>
      <c r="R23" s="27"/>
    </row>
    <row r="24" spans="2:18" x14ac:dyDescent="0.25">
      <c r="B24" s="51"/>
      <c r="C24" s="24"/>
      <c r="D24" s="25"/>
      <c r="E24" s="342"/>
      <c r="F24" s="26"/>
      <c r="G24" s="26"/>
      <c r="H24" s="26"/>
      <c r="I24" s="26"/>
      <c r="J24" s="26"/>
      <c r="K24" s="26"/>
      <c r="L24" s="26"/>
      <c r="M24" s="26"/>
      <c r="N24" s="26"/>
      <c r="O24" s="26"/>
      <c r="P24" s="26"/>
      <c r="Q24" s="26"/>
      <c r="R24" s="27"/>
    </row>
    <row r="25" spans="2:18" ht="15" customHeight="1" x14ac:dyDescent="0.25">
      <c r="B25" s="51"/>
      <c r="C25" s="11" t="s">
        <v>688</v>
      </c>
      <c r="D25" s="633" t="s">
        <v>768</v>
      </c>
      <c r="E25" s="634"/>
      <c r="F25" s="634"/>
      <c r="G25" s="634"/>
      <c r="H25" s="634"/>
      <c r="I25" s="634"/>
      <c r="J25" s="634"/>
      <c r="K25" s="634"/>
      <c r="L25" s="634"/>
      <c r="M25" s="634"/>
      <c r="N25" s="634"/>
      <c r="O25" s="634"/>
      <c r="P25" s="634"/>
      <c r="Q25" s="635"/>
      <c r="R25" s="27"/>
    </row>
    <row r="26" spans="2:18" ht="15" customHeight="1" x14ac:dyDescent="0.25">
      <c r="B26" s="51"/>
      <c r="C26" s="24"/>
      <c r="D26" s="636"/>
      <c r="E26" s="637"/>
      <c r="F26" s="637"/>
      <c r="G26" s="637"/>
      <c r="H26" s="637"/>
      <c r="I26" s="637"/>
      <c r="J26" s="637"/>
      <c r="K26" s="637"/>
      <c r="L26" s="637"/>
      <c r="M26" s="637"/>
      <c r="N26" s="637"/>
      <c r="O26" s="637"/>
      <c r="P26" s="637"/>
      <c r="Q26" s="638"/>
      <c r="R26" s="27"/>
    </row>
    <row r="27" spans="2:18" ht="15" customHeight="1" x14ac:dyDescent="0.25">
      <c r="B27" s="51"/>
      <c r="C27" s="24"/>
      <c r="D27" s="636"/>
      <c r="E27" s="637"/>
      <c r="F27" s="637"/>
      <c r="G27" s="637"/>
      <c r="H27" s="637"/>
      <c r="I27" s="637"/>
      <c r="J27" s="637"/>
      <c r="K27" s="637"/>
      <c r="L27" s="637"/>
      <c r="M27" s="637"/>
      <c r="N27" s="637"/>
      <c r="O27" s="637"/>
      <c r="P27" s="637"/>
      <c r="Q27" s="638"/>
      <c r="R27" s="27"/>
    </row>
    <row r="28" spans="2:18" ht="15" customHeight="1" x14ac:dyDescent="0.25">
      <c r="B28" s="51"/>
      <c r="C28" s="24"/>
      <c r="D28" s="636"/>
      <c r="E28" s="637"/>
      <c r="F28" s="637"/>
      <c r="G28" s="637"/>
      <c r="H28" s="637"/>
      <c r="I28" s="637"/>
      <c r="J28" s="637"/>
      <c r="K28" s="637"/>
      <c r="L28" s="637"/>
      <c r="M28" s="637"/>
      <c r="N28" s="637"/>
      <c r="O28" s="637"/>
      <c r="P28" s="637"/>
      <c r="Q28" s="638"/>
      <c r="R28" s="27"/>
    </row>
    <row r="29" spans="2:18" ht="15" customHeight="1" x14ac:dyDescent="0.25">
      <c r="B29" s="51"/>
      <c r="C29" s="24"/>
      <c r="D29" s="639"/>
      <c r="E29" s="640"/>
      <c r="F29" s="640"/>
      <c r="G29" s="640"/>
      <c r="H29" s="640"/>
      <c r="I29" s="640"/>
      <c r="J29" s="640"/>
      <c r="K29" s="640"/>
      <c r="L29" s="640"/>
      <c r="M29" s="640"/>
      <c r="N29" s="640"/>
      <c r="O29" s="640"/>
      <c r="P29" s="640"/>
      <c r="Q29" s="641"/>
      <c r="R29" s="27"/>
    </row>
    <row r="30" spans="2:18" x14ac:dyDescent="0.25">
      <c r="B30" s="51"/>
      <c r="C30" s="24"/>
      <c r="D30" s="25"/>
      <c r="E30" s="342"/>
      <c r="F30" s="26"/>
      <c r="G30" s="26"/>
      <c r="H30" s="26"/>
      <c r="I30" s="26"/>
      <c r="J30" s="26"/>
      <c r="K30" s="26"/>
      <c r="L30" s="26"/>
      <c r="M30" s="26"/>
      <c r="N30" s="26"/>
      <c r="O30" s="26"/>
      <c r="P30" s="26"/>
      <c r="Q30" s="26"/>
      <c r="R30" s="27"/>
    </row>
    <row r="31" spans="2:18" ht="15" customHeight="1" x14ac:dyDescent="0.25">
      <c r="B31" s="51"/>
      <c r="C31" s="11" t="s">
        <v>687</v>
      </c>
      <c r="D31" s="633" t="s">
        <v>689</v>
      </c>
      <c r="E31" s="634"/>
      <c r="F31" s="634"/>
      <c r="G31" s="634"/>
      <c r="H31" s="634"/>
      <c r="I31" s="634"/>
      <c r="J31" s="634"/>
      <c r="K31" s="634"/>
      <c r="L31" s="634"/>
      <c r="M31" s="634"/>
      <c r="N31" s="634"/>
      <c r="O31" s="634"/>
      <c r="P31" s="634"/>
      <c r="Q31" s="635"/>
      <c r="R31" s="27"/>
    </row>
    <row r="32" spans="2:18" ht="15" customHeight="1" x14ac:dyDescent="0.25">
      <c r="B32" s="51"/>
      <c r="C32" s="24"/>
      <c r="D32" s="636"/>
      <c r="E32" s="637"/>
      <c r="F32" s="637"/>
      <c r="G32" s="637"/>
      <c r="H32" s="637"/>
      <c r="I32" s="637"/>
      <c r="J32" s="637"/>
      <c r="K32" s="637"/>
      <c r="L32" s="637"/>
      <c r="M32" s="637"/>
      <c r="N32" s="637"/>
      <c r="O32" s="637"/>
      <c r="P32" s="637"/>
      <c r="Q32" s="638"/>
      <c r="R32" s="27"/>
    </row>
    <row r="33" spans="2:18" ht="15" customHeight="1" x14ac:dyDescent="0.25">
      <c r="B33" s="51"/>
      <c r="C33" s="24"/>
      <c r="D33" s="636"/>
      <c r="E33" s="637"/>
      <c r="F33" s="637"/>
      <c r="G33" s="637"/>
      <c r="H33" s="637"/>
      <c r="I33" s="637"/>
      <c r="J33" s="637"/>
      <c r="K33" s="637"/>
      <c r="L33" s="637"/>
      <c r="M33" s="637"/>
      <c r="N33" s="637"/>
      <c r="O33" s="637"/>
      <c r="P33" s="637"/>
      <c r="Q33" s="638"/>
      <c r="R33" s="27"/>
    </row>
    <row r="34" spans="2:18" ht="15" customHeight="1" x14ac:dyDescent="0.25">
      <c r="B34" s="51"/>
      <c r="C34" s="24"/>
      <c r="D34" s="636"/>
      <c r="E34" s="637"/>
      <c r="F34" s="637"/>
      <c r="G34" s="637"/>
      <c r="H34" s="637"/>
      <c r="I34" s="637"/>
      <c r="J34" s="637"/>
      <c r="K34" s="637"/>
      <c r="L34" s="637"/>
      <c r="M34" s="637"/>
      <c r="N34" s="637"/>
      <c r="O34" s="637"/>
      <c r="P34" s="637"/>
      <c r="Q34" s="638"/>
      <c r="R34" s="27"/>
    </row>
    <row r="35" spans="2:18" ht="15" customHeight="1" x14ac:dyDescent="0.25">
      <c r="B35" s="51"/>
      <c r="C35" s="24"/>
      <c r="D35" s="639"/>
      <c r="E35" s="640"/>
      <c r="F35" s="640"/>
      <c r="G35" s="640"/>
      <c r="H35" s="640"/>
      <c r="I35" s="640"/>
      <c r="J35" s="640"/>
      <c r="K35" s="640"/>
      <c r="L35" s="640"/>
      <c r="M35" s="640"/>
      <c r="N35" s="640"/>
      <c r="O35" s="640"/>
      <c r="P35" s="640"/>
      <c r="Q35" s="641"/>
      <c r="R35" s="27"/>
    </row>
    <row r="36" spans="2:18" x14ac:dyDescent="0.25">
      <c r="B36" s="51"/>
      <c r="C36" s="24"/>
      <c r="D36" s="25"/>
      <c r="E36" s="342"/>
      <c r="F36" s="26"/>
      <c r="G36" s="26"/>
      <c r="H36" s="26"/>
      <c r="I36" s="26"/>
      <c r="J36" s="26"/>
      <c r="K36" s="26"/>
      <c r="L36" s="26"/>
      <c r="M36" s="26"/>
      <c r="N36" s="26"/>
      <c r="O36" s="26"/>
      <c r="P36" s="26"/>
      <c r="Q36" s="26"/>
      <c r="R36" s="27"/>
    </row>
    <row r="37" spans="2:18" ht="15.75" customHeight="1" x14ac:dyDescent="0.25">
      <c r="B37" s="51"/>
      <c r="C37" s="11" t="s">
        <v>686</v>
      </c>
      <c r="D37" s="633" t="s">
        <v>769</v>
      </c>
      <c r="E37" s="634"/>
      <c r="F37" s="634"/>
      <c r="G37" s="634"/>
      <c r="H37" s="634"/>
      <c r="I37" s="634"/>
      <c r="J37" s="634"/>
      <c r="K37" s="634"/>
      <c r="L37" s="634"/>
      <c r="M37" s="634"/>
      <c r="N37" s="634"/>
      <c r="O37" s="634"/>
      <c r="P37" s="634"/>
      <c r="Q37" s="635"/>
      <c r="R37" s="27"/>
    </row>
    <row r="38" spans="2:18" ht="15.75" customHeight="1" x14ac:dyDescent="0.25">
      <c r="B38" s="51"/>
      <c r="C38" s="24"/>
      <c r="D38" s="636"/>
      <c r="E38" s="637"/>
      <c r="F38" s="637"/>
      <c r="G38" s="637"/>
      <c r="H38" s="637"/>
      <c r="I38" s="637"/>
      <c r="J38" s="637"/>
      <c r="K38" s="637"/>
      <c r="L38" s="637"/>
      <c r="M38" s="637"/>
      <c r="N38" s="637"/>
      <c r="O38" s="637"/>
      <c r="P38" s="637"/>
      <c r="Q38" s="638"/>
      <c r="R38" s="27"/>
    </row>
    <row r="39" spans="2:18" ht="15.75" customHeight="1" x14ac:dyDescent="0.25">
      <c r="B39" s="51"/>
      <c r="C39" s="24"/>
      <c r="D39" s="636"/>
      <c r="E39" s="637"/>
      <c r="F39" s="637"/>
      <c r="G39" s="637"/>
      <c r="H39" s="637"/>
      <c r="I39" s="637"/>
      <c r="J39" s="637"/>
      <c r="K39" s="637"/>
      <c r="L39" s="637"/>
      <c r="M39" s="637"/>
      <c r="N39" s="637"/>
      <c r="O39" s="637"/>
      <c r="P39" s="637"/>
      <c r="Q39" s="638"/>
      <c r="R39" s="27"/>
    </row>
    <row r="40" spans="2:18" ht="15.75" customHeight="1" x14ac:dyDescent="0.25">
      <c r="B40" s="51"/>
      <c r="C40" s="24"/>
      <c r="D40" s="636"/>
      <c r="E40" s="637"/>
      <c r="F40" s="637"/>
      <c r="G40" s="637"/>
      <c r="H40" s="637"/>
      <c r="I40" s="637"/>
      <c r="J40" s="637"/>
      <c r="K40" s="637"/>
      <c r="L40" s="637"/>
      <c r="M40" s="637"/>
      <c r="N40" s="637"/>
      <c r="O40" s="637"/>
      <c r="P40" s="637"/>
      <c r="Q40" s="638"/>
      <c r="R40" s="27"/>
    </row>
    <row r="41" spans="2:18" ht="15.75" customHeight="1" x14ac:dyDescent="0.25">
      <c r="B41" s="51"/>
      <c r="C41" s="24"/>
      <c r="D41" s="639"/>
      <c r="E41" s="640"/>
      <c r="F41" s="640"/>
      <c r="G41" s="640"/>
      <c r="H41" s="640"/>
      <c r="I41" s="640"/>
      <c r="J41" s="640"/>
      <c r="K41" s="640"/>
      <c r="L41" s="640"/>
      <c r="M41" s="640"/>
      <c r="N41" s="640"/>
      <c r="O41" s="640"/>
      <c r="P41" s="640"/>
      <c r="Q41" s="641"/>
      <c r="R41" s="27"/>
    </row>
    <row r="42" spans="2:18" x14ac:dyDescent="0.25">
      <c r="B42" s="51"/>
      <c r="C42" s="24"/>
      <c r="D42" s="25"/>
      <c r="E42" s="342"/>
      <c r="F42" s="26"/>
      <c r="G42" s="26"/>
      <c r="H42" s="26"/>
      <c r="I42" s="26"/>
      <c r="J42" s="26"/>
      <c r="K42" s="26"/>
      <c r="L42" s="26"/>
      <c r="M42" s="26"/>
      <c r="N42" s="26"/>
      <c r="O42" s="26"/>
      <c r="P42" s="26"/>
      <c r="Q42" s="26"/>
      <c r="R42" s="27"/>
    </row>
    <row r="43" spans="2:18" ht="15" customHeight="1" x14ac:dyDescent="0.25">
      <c r="B43" s="51"/>
      <c r="C43" s="11" t="s">
        <v>693</v>
      </c>
      <c r="D43" s="633" t="s">
        <v>714</v>
      </c>
      <c r="E43" s="634"/>
      <c r="F43" s="634"/>
      <c r="G43" s="634"/>
      <c r="H43" s="634"/>
      <c r="I43" s="634"/>
      <c r="J43" s="634"/>
      <c r="K43" s="634"/>
      <c r="L43" s="634"/>
      <c r="M43" s="634"/>
      <c r="N43" s="634"/>
      <c r="O43" s="634"/>
      <c r="P43" s="634"/>
      <c r="Q43" s="635"/>
      <c r="R43" s="27"/>
    </row>
    <row r="44" spans="2:18" ht="15" customHeight="1" x14ac:dyDescent="0.25">
      <c r="B44" s="51"/>
      <c r="C44" s="24"/>
      <c r="D44" s="636"/>
      <c r="E44" s="637"/>
      <c r="F44" s="637"/>
      <c r="G44" s="637"/>
      <c r="H44" s="637"/>
      <c r="I44" s="637"/>
      <c r="J44" s="637"/>
      <c r="K44" s="637"/>
      <c r="L44" s="637"/>
      <c r="M44" s="637"/>
      <c r="N44" s="637"/>
      <c r="O44" s="637"/>
      <c r="P44" s="637"/>
      <c r="Q44" s="638"/>
      <c r="R44" s="27"/>
    </row>
    <row r="45" spans="2:18" ht="15" customHeight="1" x14ac:dyDescent="0.25">
      <c r="B45" s="51"/>
      <c r="C45" s="24"/>
      <c r="D45" s="636"/>
      <c r="E45" s="637"/>
      <c r="F45" s="637"/>
      <c r="G45" s="637"/>
      <c r="H45" s="637"/>
      <c r="I45" s="637"/>
      <c r="J45" s="637"/>
      <c r="K45" s="637"/>
      <c r="L45" s="637"/>
      <c r="M45" s="637"/>
      <c r="N45" s="637"/>
      <c r="O45" s="637"/>
      <c r="P45" s="637"/>
      <c r="Q45" s="638"/>
      <c r="R45" s="27"/>
    </row>
    <row r="46" spans="2:18" ht="15" customHeight="1" x14ac:dyDescent="0.25">
      <c r="B46" s="51"/>
      <c r="C46" s="24"/>
      <c r="D46" s="636"/>
      <c r="E46" s="637"/>
      <c r="F46" s="637"/>
      <c r="G46" s="637"/>
      <c r="H46" s="637"/>
      <c r="I46" s="637"/>
      <c r="J46" s="637"/>
      <c r="K46" s="637"/>
      <c r="L46" s="637"/>
      <c r="M46" s="637"/>
      <c r="N46" s="637"/>
      <c r="O46" s="637"/>
      <c r="P46" s="637"/>
      <c r="Q46" s="638"/>
      <c r="R46" s="27"/>
    </row>
    <row r="47" spans="2:18" ht="15" customHeight="1" x14ac:dyDescent="0.25">
      <c r="B47" s="51"/>
      <c r="C47" s="24"/>
      <c r="D47" s="639"/>
      <c r="E47" s="640"/>
      <c r="F47" s="640"/>
      <c r="G47" s="640"/>
      <c r="H47" s="640"/>
      <c r="I47" s="640"/>
      <c r="J47" s="640"/>
      <c r="K47" s="640"/>
      <c r="L47" s="640"/>
      <c r="M47" s="640"/>
      <c r="N47" s="640"/>
      <c r="O47" s="640"/>
      <c r="P47" s="640"/>
      <c r="Q47" s="641"/>
      <c r="R47" s="27"/>
    </row>
    <row r="48" spans="2:18" x14ac:dyDescent="0.25">
      <c r="B48" s="51"/>
      <c r="C48" s="24"/>
      <c r="D48" s="25"/>
      <c r="E48" s="342"/>
      <c r="F48" s="26"/>
      <c r="G48" s="26"/>
      <c r="H48" s="26"/>
      <c r="I48" s="26"/>
      <c r="J48" s="26"/>
      <c r="K48" s="26"/>
      <c r="L48" s="26"/>
      <c r="M48" s="26"/>
      <c r="N48" s="26"/>
      <c r="O48" s="26"/>
      <c r="P48" s="26"/>
      <c r="Q48" s="26"/>
      <c r="R48" s="27"/>
    </row>
    <row r="49" spans="2:18" ht="15" customHeight="1" x14ac:dyDescent="0.25">
      <c r="B49" s="51"/>
      <c r="C49" s="11" t="s">
        <v>716</v>
      </c>
      <c r="D49" s="633" t="s">
        <v>715</v>
      </c>
      <c r="E49" s="634"/>
      <c r="F49" s="634"/>
      <c r="G49" s="634"/>
      <c r="H49" s="634"/>
      <c r="I49" s="634"/>
      <c r="J49" s="634"/>
      <c r="K49" s="634"/>
      <c r="L49" s="634"/>
      <c r="M49" s="634"/>
      <c r="N49" s="634"/>
      <c r="O49" s="634"/>
      <c r="P49" s="634"/>
      <c r="Q49" s="635"/>
      <c r="R49" s="27"/>
    </row>
    <row r="50" spans="2:18" ht="15" customHeight="1" x14ac:dyDescent="0.25">
      <c r="B50" s="51"/>
      <c r="C50" s="24"/>
      <c r="D50" s="636"/>
      <c r="E50" s="637"/>
      <c r="F50" s="637"/>
      <c r="G50" s="637"/>
      <c r="H50" s="637"/>
      <c r="I50" s="637"/>
      <c r="J50" s="637"/>
      <c r="K50" s="637"/>
      <c r="L50" s="637"/>
      <c r="M50" s="637"/>
      <c r="N50" s="637"/>
      <c r="O50" s="637"/>
      <c r="P50" s="637"/>
      <c r="Q50" s="638"/>
      <c r="R50" s="27"/>
    </row>
    <row r="51" spans="2:18" ht="15" customHeight="1" x14ac:dyDescent="0.25">
      <c r="B51" s="51"/>
      <c r="C51" s="24"/>
      <c r="D51" s="636"/>
      <c r="E51" s="637"/>
      <c r="F51" s="637"/>
      <c r="G51" s="637"/>
      <c r="H51" s="637"/>
      <c r="I51" s="637"/>
      <c r="J51" s="637"/>
      <c r="K51" s="637"/>
      <c r="L51" s="637"/>
      <c r="M51" s="637"/>
      <c r="N51" s="637"/>
      <c r="O51" s="637"/>
      <c r="P51" s="637"/>
      <c r="Q51" s="638"/>
      <c r="R51" s="27"/>
    </row>
    <row r="52" spans="2:18" ht="15" customHeight="1" x14ac:dyDescent="0.25">
      <c r="B52" s="51"/>
      <c r="C52" s="24"/>
      <c r="D52" s="636"/>
      <c r="E52" s="637"/>
      <c r="F52" s="637"/>
      <c r="G52" s="637"/>
      <c r="H52" s="637"/>
      <c r="I52" s="637"/>
      <c r="J52" s="637"/>
      <c r="K52" s="637"/>
      <c r="L52" s="637"/>
      <c r="M52" s="637"/>
      <c r="N52" s="637"/>
      <c r="O52" s="637"/>
      <c r="P52" s="637"/>
      <c r="Q52" s="638"/>
      <c r="R52" s="27"/>
    </row>
    <row r="53" spans="2:18" ht="15" customHeight="1" x14ac:dyDescent="0.25">
      <c r="B53" s="51"/>
      <c r="C53" s="24"/>
      <c r="D53" s="639"/>
      <c r="E53" s="640"/>
      <c r="F53" s="640"/>
      <c r="G53" s="640"/>
      <c r="H53" s="640"/>
      <c r="I53" s="640"/>
      <c r="J53" s="640"/>
      <c r="K53" s="640"/>
      <c r="L53" s="640"/>
      <c r="M53" s="640"/>
      <c r="N53" s="640"/>
      <c r="O53" s="640"/>
      <c r="P53" s="640"/>
      <c r="Q53" s="641"/>
      <c r="R53" s="27"/>
    </row>
    <row r="54" spans="2:18" x14ac:dyDescent="0.25">
      <c r="B54" s="51"/>
      <c r="C54" s="24"/>
      <c r="D54" s="25"/>
      <c r="E54" s="342"/>
      <c r="F54" s="26"/>
      <c r="G54" s="26"/>
      <c r="H54" s="26"/>
      <c r="I54" s="26"/>
      <c r="J54" s="26"/>
      <c r="K54" s="26"/>
      <c r="L54" s="26"/>
      <c r="M54" s="26"/>
      <c r="N54" s="26"/>
      <c r="O54" s="26"/>
      <c r="P54" s="26"/>
      <c r="Q54" s="26"/>
      <c r="R54" s="27"/>
    </row>
    <row r="55" spans="2:18" ht="15" customHeight="1" x14ac:dyDescent="0.25">
      <c r="B55" s="51"/>
      <c r="C55" s="11" t="s">
        <v>694</v>
      </c>
      <c r="D55" s="633" t="s">
        <v>718</v>
      </c>
      <c r="E55" s="634"/>
      <c r="F55" s="634"/>
      <c r="G55" s="634"/>
      <c r="H55" s="634"/>
      <c r="I55" s="634"/>
      <c r="J55" s="634"/>
      <c r="K55" s="634"/>
      <c r="L55" s="634"/>
      <c r="M55" s="634"/>
      <c r="N55" s="634"/>
      <c r="O55" s="634"/>
      <c r="P55" s="634"/>
      <c r="Q55" s="635"/>
      <c r="R55" s="27"/>
    </row>
    <row r="56" spans="2:18" ht="15" customHeight="1" x14ac:dyDescent="0.25">
      <c r="B56" s="51"/>
      <c r="C56" s="24"/>
      <c r="D56" s="636"/>
      <c r="E56" s="637"/>
      <c r="F56" s="637"/>
      <c r="G56" s="637"/>
      <c r="H56" s="637"/>
      <c r="I56" s="637"/>
      <c r="J56" s="637"/>
      <c r="K56" s="637"/>
      <c r="L56" s="637"/>
      <c r="M56" s="637"/>
      <c r="N56" s="637"/>
      <c r="O56" s="637"/>
      <c r="P56" s="637"/>
      <c r="Q56" s="638"/>
      <c r="R56" s="27"/>
    </row>
    <row r="57" spans="2:18" ht="15" customHeight="1" x14ac:dyDescent="0.25">
      <c r="B57" s="51"/>
      <c r="C57" s="24"/>
      <c r="D57" s="636"/>
      <c r="E57" s="637"/>
      <c r="F57" s="637"/>
      <c r="G57" s="637"/>
      <c r="H57" s="637"/>
      <c r="I57" s="637"/>
      <c r="J57" s="637"/>
      <c r="K57" s="637"/>
      <c r="L57" s="637"/>
      <c r="M57" s="637"/>
      <c r="N57" s="637"/>
      <c r="O57" s="637"/>
      <c r="P57" s="637"/>
      <c r="Q57" s="638"/>
      <c r="R57" s="27"/>
    </row>
    <row r="58" spans="2:18" ht="15" customHeight="1" x14ac:dyDescent="0.25">
      <c r="B58" s="51"/>
      <c r="C58" s="24"/>
      <c r="D58" s="636"/>
      <c r="E58" s="637"/>
      <c r="F58" s="637"/>
      <c r="G58" s="637"/>
      <c r="H58" s="637"/>
      <c r="I58" s="637"/>
      <c r="J58" s="637"/>
      <c r="K58" s="637"/>
      <c r="L58" s="637"/>
      <c r="M58" s="637"/>
      <c r="N58" s="637"/>
      <c r="O58" s="637"/>
      <c r="P58" s="637"/>
      <c r="Q58" s="638"/>
      <c r="R58" s="27"/>
    </row>
    <row r="59" spans="2:18" ht="15" customHeight="1" x14ac:dyDescent="0.25">
      <c r="B59" s="51"/>
      <c r="C59" s="24"/>
      <c r="D59" s="639"/>
      <c r="E59" s="640"/>
      <c r="F59" s="640"/>
      <c r="G59" s="640"/>
      <c r="H59" s="640"/>
      <c r="I59" s="640"/>
      <c r="J59" s="640"/>
      <c r="K59" s="640"/>
      <c r="L59" s="640"/>
      <c r="M59" s="640"/>
      <c r="N59" s="640"/>
      <c r="O59" s="640"/>
      <c r="P59" s="640"/>
      <c r="Q59" s="641"/>
      <c r="R59" s="27"/>
    </row>
    <row r="60" spans="2:18" ht="16.5" thickBot="1" x14ac:dyDescent="0.3">
      <c r="B60" s="33"/>
      <c r="C60" s="28"/>
      <c r="D60" s="29"/>
      <c r="E60" s="343"/>
      <c r="F60" s="30"/>
      <c r="G60" s="30"/>
      <c r="H60" s="30"/>
      <c r="I60" s="30"/>
      <c r="J60" s="30"/>
      <c r="K60" s="30"/>
      <c r="L60" s="30"/>
      <c r="M60" s="30"/>
      <c r="N60" s="30"/>
      <c r="O60" s="30"/>
      <c r="P60" s="30"/>
      <c r="Q60" s="30"/>
      <c r="R60" s="31"/>
    </row>
    <row r="61" spans="2:18" x14ac:dyDescent="0.25">
      <c r="E61" s="338"/>
    </row>
    <row r="62" spans="2:18" ht="16.5" thickBot="1" x14ac:dyDescent="0.3">
      <c r="E62" s="338"/>
    </row>
    <row r="63" spans="2:18" ht="16.5" thickBot="1" x14ac:dyDescent="0.3">
      <c r="B63" s="340"/>
      <c r="C63" s="247"/>
      <c r="D63" s="246"/>
      <c r="E63" s="341"/>
      <c r="F63" s="22"/>
      <c r="G63" s="22"/>
      <c r="H63" s="22"/>
      <c r="I63" s="22"/>
      <c r="J63" s="22"/>
      <c r="K63" s="22"/>
      <c r="L63" s="22"/>
      <c r="M63" s="22"/>
      <c r="N63" s="22"/>
      <c r="O63" s="22"/>
      <c r="P63" s="22"/>
      <c r="Q63" s="22"/>
      <c r="R63" s="23"/>
    </row>
    <row r="64" spans="2:18" ht="19.5" thickBot="1" x14ac:dyDescent="0.35">
      <c r="B64" s="51"/>
      <c r="C64" s="302" t="str">
        <f>Modelo!F11</f>
        <v>Organización de la empresa</v>
      </c>
      <c r="D64" s="25"/>
      <c r="E64" s="342"/>
      <c r="F64" s="26"/>
      <c r="G64" s="26"/>
      <c r="H64" s="26"/>
      <c r="I64" s="26"/>
      <c r="J64" s="26"/>
      <c r="K64" s="26"/>
      <c r="L64" s="26"/>
      <c r="M64" s="26"/>
      <c r="N64" s="26"/>
      <c r="O64" s="26"/>
      <c r="P64" s="26"/>
      <c r="Q64" s="26"/>
      <c r="R64" s="27"/>
    </row>
    <row r="65" spans="2:18" x14ac:dyDescent="0.25">
      <c r="B65" s="51"/>
      <c r="C65" s="24"/>
      <c r="D65" s="25"/>
      <c r="E65" s="342"/>
      <c r="F65" s="26"/>
      <c r="G65" s="26"/>
      <c r="H65" s="26"/>
      <c r="I65" s="26"/>
      <c r="J65" s="26"/>
      <c r="K65" s="26"/>
      <c r="L65" s="26"/>
      <c r="M65" s="26"/>
      <c r="N65" s="26"/>
      <c r="O65" s="26"/>
      <c r="P65" s="26"/>
      <c r="Q65" s="26"/>
      <c r="R65" s="27"/>
    </row>
    <row r="66" spans="2:18" ht="15" customHeight="1" x14ac:dyDescent="0.25">
      <c r="B66" s="51"/>
      <c r="C66" s="11" t="s">
        <v>690</v>
      </c>
      <c r="D66" s="633" t="s">
        <v>719</v>
      </c>
      <c r="E66" s="634"/>
      <c r="F66" s="634"/>
      <c r="G66" s="634"/>
      <c r="H66" s="634"/>
      <c r="I66" s="634"/>
      <c r="J66" s="634"/>
      <c r="K66" s="634"/>
      <c r="L66" s="634"/>
      <c r="M66" s="634"/>
      <c r="N66" s="634"/>
      <c r="O66" s="634"/>
      <c r="P66" s="634"/>
      <c r="Q66" s="635"/>
      <c r="R66" s="27"/>
    </row>
    <row r="67" spans="2:18" ht="15" customHeight="1" x14ac:dyDescent="0.25">
      <c r="B67" s="51"/>
      <c r="C67" s="24"/>
      <c r="D67" s="636"/>
      <c r="E67" s="637"/>
      <c r="F67" s="637"/>
      <c r="G67" s="637"/>
      <c r="H67" s="637"/>
      <c r="I67" s="637"/>
      <c r="J67" s="637"/>
      <c r="K67" s="637"/>
      <c r="L67" s="637"/>
      <c r="M67" s="637"/>
      <c r="N67" s="637"/>
      <c r="O67" s="637"/>
      <c r="P67" s="637"/>
      <c r="Q67" s="638"/>
      <c r="R67" s="27"/>
    </row>
    <row r="68" spans="2:18" ht="15" customHeight="1" x14ac:dyDescent="0.25">
      <c r="B68" s="51"/>
      <c r="C68" s="24"/>
      <c r="D68" s="636"/>
      <c r="E68" s="637"/>
      <c r="F68" s="637"/>
      <c r="G68" s="637"/>
      <c r="H68" s="637"/>
      <c r="I68" s="637"/>
      <c r="J68" s="637"/>
      <c r="K68" s="637"/>
      <c r="L68" s="637"/>
      <c r="M68" s="637"/>
      <c r="N68" s="637"/>
      <c r="O68" s="637"/>
      <c r="P68" s="637"/>
      <c r="Q68" s="638"/>
      <c r="R68" s="27"/>
    </row>
    <row r="69" spans="2:18" ht="15" customHeight="1" x14ac:dyDescent="0.25">
      <c r="B69" s="51"/>
      <c r="C69" s="24"/>
      <c r="D69" s="636"/>
      <c r="E69" s="637"/>
      <c r="F69" s="637"/>
      <c r="G69" s="637"/>
      <c r="H69" s="637"/>
      <c r="I69" s="637"/>
      <c r="J69" s="637"/>
      <c r="K69" s="637"/>
      <c r="L69" s="637"/>
      <c r="M69" s="637"/>
      <c r="N69" s="637"/>
      <c r="O69" s="637"/>
      <c r="P69" s="637"/>
      <c r="Q69" s="638"/>
      <c r="R69" s="27"/>
    </row>
    <row r="70" spans="2:18" ht="15" customHeight="1" x14ac:dyDescent="0.25">
      <c r="B70" s="51"/>
      <c r="C70" s="24"/>
      <c r="D70" s="639"/>
      <c r="E70" s="640"/>
      <c r="F70" s="640"/>
      <c r="G70" s="640"/>
      <c r="H70" s="640"/>
      <c r="I70" s="640"/>
      <c r="J70" s="640"/>
      <c r="K70" s="640"/>
      <c r="L70" s="640"/>
      <c r="M70" s="640"/>
      <c r="N70" s="640"/>
      <c r="O70" s="640"/>
      <c r="P70" s="640"/>
      <c r="Q70" s="641"/>
      <c r="R70" s="27"/>
    </row>
    <row r="71" spans="2:18" x14ac:dyDescent="0.25">
      <c r="B71" s="51"/>
      <c r="C71" s="24"/>
      <c r="D71" s="25"/>
      <c r="E71" s="342"/>
      <c r="F71" s="26"/>
      <c r="G71" s="26"/>
      <c r="H71" s="26"/>
      <c r="I71" s="26"/>
      <c r="J71" s="26"/>
      <c r="K71" s="26"/>
      <c r="L71" s="26"/>
      <c r="M71" s="26"/>
      <c r="N71" s="26"/>
      <c r="O71" s="26"/>
      <c r="P71" s="26"/>
      <c r="Q71" s="26"/>
      <c r="R71" s="27"/>
    </row>
    <row r="72" spans="2:18" ht="15" customHeight="1" x14ac:dyDescent="0.25">
      <c r="B72" s="51"/>
      <c r="C72" s="11" t="s">
        <v>692</v>
      </c>
      <c r="D72" s="633" t="s">
        <v>770</v>
      </c>
      <c r="E72" s="634"/>
      <c r="F72" s="634"/>
      <c r="G72" s="634"/>
      <c r="H72" s="634"/>
      <c r="I72" s="634"/>
      <c r="J72" s="634"/>
      <c r="K72" s="634"/>
      <c r="L72" s="634"/>
      <c r="M72" s="634"/>
      <c r="N72" s="634"/>
      <c r="O72" s="634"/>
      <c r="P72" s="634"/>
      <c r="Q72" s="635"/>
      <c r="R72" s="27"/>
    </row>
    <row r="73" spans="2:18" ht="15" customHeight="1" x14ac:dyDescent="0.25">
      <c r="B73" s="51"/>
      <c r="C73" s="24"/>
      <c r="D73" s="636"/>
      <c r="E73" s="637"/>
      <c r="F73" s="637"/>
      <c r="G73" s="637"/>
      <c r="H73" s="637"/>
      <c r="I73" s="637"/>
      <c r="J73" s="637"/>
      <c r="K73" s="637"/>
      <c r="L73" s="637"/>
      <c r="M73" s="637"/>
      <c r="N73" s="637"/>
      <c r="O73" s="637"/>
      <c r="P73" s="637"/>
      <c r="Q73" s="638"/>
      <c r="R73" s="27"/>
    </row>
    <row r="74" spans="2:18" ht="15" customHeight="1" x14ac:dyDescent="0.25">
      <c r="B74" s="51"/>
      <c r="C74" s="24"/>
      <c r="D74" s="636"/>
      <c r="E74" s="637"/>
      <c r="F74" s="637"/>
      <c r="G74" s="637"/>
      <c r="H74" s="637"/>
      <c r="I74" s="637"/>
      <c r="J74" s="637"/>
      <c r="K74" s="637"/>
      <c r="L74" s="637"/>
      <c r="M74" s="637"/>
      <c r="N74" s="637"/>
      <c r="O74" s="637"/>
      <c r="P74" s="637"/>
      <c r="Q74" s="638"/>
      <c r="R74" s="27"/>
    </row>
    <row r="75" spans="2:18" ht="15" customHeight="1" x14ac:dyDescent="0.25">
      <c r="B75" s="51"/>
      <c r="C75" s="24"/>
      <c r="D75" s="636"/>
      <c r="E75" s="637"/>
      <c r="F75" s="637"/>
      <c r="G75" s="637"/>
      <c r="H75" s="637"/>
      <c r="I75" s="637"/>
      <c r="J75" s="637"/>
      <c r="K75" s="637"/>
      <c r="L75" s="637"/>
      <c r="M75" s="637"/>
      <c r="N75" s="637"/>
      <c r="O75" s="637"/>
      <c r="P75" s="637"/>
      <c r="Q75" s="638"/>
      <c r="R75" s="27"/>
    </row>
    <row r="76" spans="2:18" ht="15" customHeight="1" x14ac:dyDescent="0.25">
      <c r="B76" s="51"/>
      <c r="C76" s="24"/>
      <c r="D76" s="639"/>
      <c r="E76" s="640"/>
      <c r="F76" s="640"/>
      <c r="G76" s="640"/>
      <c r="H76" s="640"/>
      <c r="I76" s="640"/>
      <c r="J76" s="640"/>
      <c r="K76" s="640"/>
      <c r="L76" s="640"/>
      <c r="M76" s="640"/>
      <c r="N76" s="640"/>
      <c r="O76" s="640"/>
      <c r="P76" s="640"/>
      <c r="Q76" s="641"/>
      <c r="R76" s="27"/>
    </row>
    <row r="77" spans="2:18" x14ac:dyDescent="0.25">
      <c r="B77" s="51"/>
      <c r="C77" s="24"/>
      <c r="D77" s="25"/>
      <c r="E77" s="342"/>
      <c r="F77" s="26"/>
      <c r="G77" s="26"/>
      <c r="H77" s="26"/>
      <c r="I77" s="26"/>
      <c r="J77" s="26"/>
      <c r="K77" s="26"/>
      <c r="L77" s="26"/>
      <c r="M77" s="26"/>
      <c r="N77" s="26"/>
      <c r="O77" s="26"/>
      <c r="P77" s="26"/>
      <c r="Q77" s="26"/>
      <c r="R77" s="27"/>
    </row>
    <row r="78" spans="2:18" ht="15" customHeight="1" x14ac:dyDescent="0.25">
      <c r="B78" s="51"/>
      <c r="C78" s="11" t="s">
        <v>695</v>
      </c>
      <c r="D78" s="633" t="s">
        <v>720</v>
      </c>
      <c r="E78" s="634"/>
      <c r="F78" s="634"/>
      <c r="G78" s="634"/>
      <c r="H78" s="634"/>
      <c r="I78" s="634"/>
      <c r="J78" s="634"/>
      <c r="K78" s="634"/>
      <c r="L78" s="634"/>
      <c r="M78" s="634"/>
      <c r="N78" s="634"/>
      <c r="O78" s="634"/>
      <c r="P78" s="634"/>
      <c r="Q78" s="635"/>
      <c r="R78" s="27"/>
    </row>
    <row r="79" spans="2:18" ht="15" customHeight="1" x14ac:dyDescent="0.25">
      <c r="B79" s="51"/>
      <c r="C79" s="24"/>
      <c r="D79" s="636"/>
      <c r="E79" s="637"/>
      <c r="F79" s="637"/>
      <c r="G79" s="637"/>
      <c r="H79" s="637"/>
      <c r="I79" s="637"/>
      <c r="J79" s="637"/>
      <c r="K79" s="637"/>
      <c r="L79" s="637"/>
      <c r="M79" s="637"/>
      <c r="N79" s="637"/>
      <c r="O79" s="637"/>
      <c r="P79" s="637"/>
      <c r="Q79" s="638"/>
      <c r="R79" s="27"/>
    </row>
    <row r="80" spans="2:18" ht="15" customHeight="1" x14ac:dyDescent="0.25">
      <c r="B80" s="51"/>
      <c r="C80" s="24"/>
      <c r="D80" s="636"/>
      <c r="E80" s="637"/>
      <c r="F80" s="637"/>
      <c r="G80" s="637"/>
      <c r="H80" s="637"/>
      <c r="I80" s="637"/>
      <c r="J80" s="637"/>
      <c r="K80" s="637"/>
      <c r="L80" s="637"/>
      <c r="M80" s="637"/>
      <c r="N80" s="637"/>
      <c r="O80" s="637"/>
      <c r="P80" s="637"/>
      <c r="Q80" s="638"/>
      <c r="R80" s="27"/>
    </row>
    <row r="81" spans="2:18" ht="15" customHeight="1" x14ac:dyDescent="0.25">
      <c r="B81" s="51"/>
      <c r="C81" s="24"/>
      <c r="D81" s="636"/>
      <c r="E81" s="637"/>
      <c r="F81" s="637"/>
      <c r="G81" s="637"/>
      <c r="H81" s="637"/>
      <c r="I81" s="637"/>
      <c r="J81" s="637"/>
      <c r="K81" s="637"/>
      <c r="L81" s="637"/>
      <c r="M81" s="637"/>
      <c r="N81" s="637"/>
      <c r="O81" s="637"/>
      <c r="P81" s="637"/>
      <c r="Q81" s="638"/>
      <c r="R81" s="27"/>
    </row>
    <row r="82" spans="2:18" ht="15" customHeight="1" x14ac:dyDescent="0.25">
      <c r="B82" s="51"/>
      <c r="C82" s="24"/>
      <c r="D82" s="639"/>
      <c r="E82" s="640"/>
      <c r="F82" s="640"/>
      <c r="G82" s="640"/>
      <c r="H82" s="640"/>
      <c r="I82" s="640"/>
      <c r="J82" s="640"/>
      <c r="K82" s="640"/>
      <c r="L82" s="640"/>
      <c r="M82" s="640"/>
      <c r="N82" s="640"/>
      <c r="O82" s="640"/>
      <c r="P82" s="640"/>
      <c r="Q82" s="641"/>
      <c r="R82" s="27"/>
    </row>
    <row r="83" spans="2:18" x14ac:dyDescent="0.25">
      <c r="B83" s="51"/>
      <c r="C83" s="24"/>
      <c r="D83" s="25"/>
      <c r="E83" s="342"/>
      <c r="F83" s="26"/>
      <c r="G83" s="26"/>
      <c r="H83" s="26"/>
      <c r="I83" s="26"/>
      <c r="J83" s="26"/>
      <c r="K83" s="26"/>
      <c r="L83" s="26"/>
      <c r="M83" s="26"/>
      <c r="N83" s="26"/>
      <c r="O83" s="26"/>
      <c r="P83" s="26"/>
      <c r="Q83" s="26"/>
      <c r="R83" s="27"/>
    </row>
    <row r="84" spans="2:18" ht="15" customHeight="1" x14ac:dyDescent="0.25">
      <c r="B84" s="51"/>
      <c r="C84" s="11" t="s">
        <v>528</v>
      </c>
      <c r="D84" s="633" t="s">
        <v>721</v>
      </c>
      <c r="E84" s="634"/>
      <c r="F84" s="634"/>
      <c r="G84" s="634"/>
      <c r="H84" s="634"/>
      <c r="I84" s="634"/>
      <c r="J84" s="634"/>
      <c r="K84" s="634"/>
      <c r="L84" s="634"/>
      <c r="M84" s="634"/>
      <c r="N84" s="634"/>
      <c r="O84" s="634"/>
      <c r="P84" s="634"/>
      <c r="Q84" s="635"/>
      <c r="R84" s="27"/>
    </row>
    <row r="85" spans="2:18" ht="15" customHeight="1" x14ac:dyDescent="0.25">
      <c r="B85" s="51"/>
      <c r="C85" s="24"/>
      <c r="D85" s="636"/>
      <c r="E85" s="637"/>
      <c r="F85" s="637"/>
      <c r="G85" s="637"/>
      <c r="H85" s="637"/>
      <c r="I85" s="637"/>
      <c r="J85" s="637"/>
      <c r="K85" s="637"/>
      <c r="L85" s="637"/>
      <c r="M85" s="637"/>
      <c r="N85" s="637"/>
      <c r="O85" s="637"/>
      <c r="P85" s="637"/>
      <c r="Q85" s="638"/>
      <c r="R85" s="27"/>
    </row>
    <row r="86" spans="2:18" ht="15" customHeight="1" x14ac:dyDescent="0.25">
      <c r="B86" s="51"/>
      <c r="C86" s="24"/>
      <c r="D86" s="636"/>
      <c r="E86" s="637"/>
      <c r="F86" s="637"/>
      <c r="G86" s="637"/>
      <c r="H86" s="637"/>
      <c r="I86" s="637"/>
      <c r="J86" s="637"/>
      <c r="K86" s="637"/>
      <c r="L86" s="637"/>
      <c r="M86" s="637"/>
      <c r="N86" s="637"/>
      <c r="O86" s="637"/>
      <c r="P86" s="637"/>
      <c r="Q86" s="638"/>
      <c r="R86" s="27"/>
    </row>
    <row r="87" spans="2:18" ht="15" customHeight="1" x14ac:dyDescent="0.25">
      <c r="B87" s="51"/>
      <c r="C87" s="24"/>
      <c r="D87" s="636"/>
      <c r="E87" s="637"/>
      <c r="F87" s="637"/>
      <c r="G87" s="637"/>
      <c r="H87" s="637"/>
      <c r="I87" s="637"/>
      <c r="J87" s="637"/>
      <c r="K87" s="637"/>
      <c r="L87" s="637"/>
      <c r="M87" s="637"/>
      <c r="N87" s="637"/>
      <c r="O87" s="637"/>
      <c r="P87" s="637"/>
      <c r="Q87" s="638"/>
      <c r="R87" s="27"/>
    </row>
    <row r="88" spans="2:18" ht="15" customHeight="1" x14ac:dyDescent="0.25">
      <c r="B88" s="51"/>
      <c r="C88" s="24"/>
      <c r="D88" s="639"/>
      <c r="E88" s="640"/>
      <c r="F88" s="640"/>
      <c r="G88" s="640"/>
      <c r="H88" s="640"/>
      <c r="I88" s="640"/>
      <c r="J88" s="640"/>
      <c r="K88" s="640"/>
      <c r="L88" s="640"/>
      <c r="M88" s="640"/>
      <c r="N88" s="640"/>
      <c r="O88" s="640"/>
      <c r="P88" s="640"/>
      <c r="Q88" s="641"/>
      <c r="R88" s="27"/>
    </row>
    <row r="89" spans="2:18" x14ac:dyDescent="0.25">
      <c r="B89" s="51"/>
      <c r="C89" s="24"/>
      <c r="D89" s="25"/>
      <c r="E89" s="342"/>
      <c r="F89" s="26"/>
      <c r="G89" s="26"/>
      <c r="H89" s="26"/>
      <c r="I89" s="26"/>
      <c r="J89" s="26"/>
      <c r="K89" s="26"/>
      <c r="L89" s="26"/>
      <c r="M89" s="26"/>
      <c r="N89" s="26"/>
      <c r="O89" s="26"/>
      <c r="P89" s="26"/>
      <c r="Q89" s="26"/>
      <c r="R89" s="27"/>
    </row>
    <row r="90" spans="2:18" ht="15" customHeight="1" x14ac:dyDescent="0.25">
      <c r="B90" s="51"/>
      <c r="C90" s="11" t="s">
        <v>581</v>
      </c>
      <c r="D90" s="633" t="s">
        <v>771</v>
      </c>
      <c r="E90" s="634"/>
      <c r="F90" s="634"/>
      <c r="G90" s="634"/>
      <c r="H90" s="634"/>
      <c r="I90" s="634"/>
      <c r="J90" s="634"/>
      <c r="K90" s="634"/>
      <c r="L90" s="634"/>
      <c r="M90" s="634"/>
      <c r="N90" s="634"/>
      <c r="O90" s="634"/>
      <c r="P90" s="634"/>
      <c r="Q90" s="635"/>
      <c r="R90" s="27"/>
    </row>
    <row r="91" spans="2:18" ht="15" customHeight="1" x14ac:dyDescent="0.25">
      <c r="B91" s="51"/>
      <c r="C91" s="24"/>
      <c r="D91" s="636"/>
      <c r="E91" s="637"/>
      <c r="F91" s="637"/>
      <c r="G91" s="637"/>
      <c r="H91" s="637"/>
      <c r="I91" s="637"/>
      <c r="J91" s="637"/>
      <c r="K91" s="637"/>
      <c r="L91" s="637"/>
      <c r="M91" s="637"/>
      <c r="N91" s="637"/>
      <c r="O91" s="637"/>
      <c r="P91" s="637"/>
      <c r="Q91" s="638"/>
      <c r="R91" s="27"/>
    </row>
    <row r="92" spans="2:18" ht="15" customHeight="1" x14ac:dyDescent="0.25">
      <c r="B92" s="51"/>
      <c r="C92" s="24"/>
      <c r="D92" s="636"/>
      <c r="E92" s="637"/>
      <c r="F92" s="637"/>
      <c r="G92" s="637"/>
      <c r="H92" s="637"/>
      <c r="I92" s="637"/>
      <c r="J92" s="637"/>
      <c r="K92" s="637"/>
      <c r="L92" s="637"/>
      <c r="M92" s="637"/>
      <c r="N92" s="637"/>
      <c r="O92" s="637"/>
      <c r="P92" s="637"/>
      <c r="Q92" s="638"/>
      <c r="R92" s="27"/>
    </row>
    <row r="93" spans="2:18" ht="15" customHeight="1" x14ac:dyDescent="0.25">
      <c r="B93" s="51"/>
      <c r="C93" s="24"/>
      <c r="D93" s="636"/>
      <c r="E93" s="637"/>
      <c r="F93" s="637"/>
      <c r="G93" s="637"/>
      <c r="H93" s="637"/>
      <c r="I93" s="637"/>
      <c r="J93" s="637"/>
      <c r="K93" s="637"/>
      <c r="L93" s="637"/>
      <c r="M93" s="637"/>
      <c r="N93" s="637"/>
      <c r="O93" s="637"/>
      <c r="P93" s="637"/>
      <c r="Q93" s="638"/>
      <c r="R93" s="27"/>
    </row>
    <row r="94" spans="2:18" ht="15" customHeight="1" x14ac:dyDescent="0.25">
      <c r="B94" s="51"/>
      <c r="C94" s="24"/>
      <c r="D94" s="639"/>
      <c r="E94" s="640"/>
      <c r="F94" s="640"/>
      <c r="G94" s="640"/>
      <c r="H94" s="640"/>
      <c r="I94" s="640"/>
      <c r="J94" s="640"/>
      <c r="K94" s="640"/>
      <c r="L94" s="640"/>
      <c r="M94" s="640"/>
      <c r="N94" s="640"/>
      <c r="O94" s="640"/>
      <c r="P94" s="640"/>
      <c r="Q94" s="641"/>
      <c r="R94" s="27"/>
    </row>
    <row r="95" spans="2:18" x14ac:dyDescent="0.25">
      <c r="B95" s="51"/>
      <c r="C95" s="24"/>
      <c r="D95" s="25"/>
      <c r="E95" s="342"/>
      <c r="F95" s="26"/>
      <c r="G95" s="26"/>
      <c r="H95" s="26"/>
      <c r="I95" s="26"/>
      <c r="J95" s="26"/>
      <c r="K95" s="26"/>
      <c r="L95" s="26"/>
      <c r="M95" s="26"/>
      <c r="N95" s="26"/>
      <c r="O95" s="26"/>
      <c r="P95" s="26"/>
      <c r="Q95" s="26"/>
      <c r="R95" s="27"/>
    </row>
    <row r="96" spans="2:18" ht="15" customHeight="1" x14ac:dyDescent="0.25">
      <c r="B96" s="51"/>
      <c r="C96" s="11" t="s">
        <v>691</v>
      </c>
      <c r="D96" s="633" t="s">
        <v>722</v>
      </c>
      <c r="E96" s="634"/>
      <c r="F96" s="634"/>
      <c r="G96" s="634"/>
      <c r="H96" s="634"/>
      <c r="I96" s="634"/>
      <c r="J96" s="634"/>
      <c r="K96" s="634"/>
      <c r="L96" s="634"/>
      <c r="M96" s="634"/>
      <c r="N96" s="634"/>
      <c r="O96" s="634"/>
      <c r="P96" s="634"/>
      <c r="Q96" s="635"/>
      <c r="R96" s="27"/>
    </row>
    <row r="97" spans="2:18" ht="15" customHeight="1" x14ac:dyDescent="0.25">
      <c r="B97" s="51"/>
      <c r="C97" s="24"/>
      <c r="D97" s="636"/>
      <c r="E97" s="637"/>
      <c r="F97" s="637"/>
      <c r="G97" s="637"/>
      <c r="H97" s="637"/>
      <c r="I97" s="637"/>
      <c r="J97" s="637"/>
      <c r="K97" s="637"/>
      <c r="L97" s="637"/>
      <c r="M97" s="637"/>
      <c r="N97" s="637"/>
      <c r="O97" s="637"/>
      <c r="P97" s="637"/>
      <c r="Q97" s="638"/>
      <c r="R97" s="27"/>
    </row>
    <row r="98" spans="2:18" ht="15" customHeight="1" x14ac:dyDescent="0.25">
      <c r="B98" s="51"/>
      <c r="C98" s="24"/>
      <c r="D98" s="636"/>
      <c r="E98" s="637"/>
      <c r="F98" s="637"/>
      <c r="G98" s="637"/>
      <c r="H98" s="637"/>
      <c r="I98" s="637"/>
      <c r="J98" s="637"/>
      <c r="K98" s="637"/>
      <c r="L98" s="637"/>
      <c r="M98" s="637"/>
      <c r="N98" s="637"/>
      <c r="O98" s="637"/>
      <c r="P98" s="637"/>
      <c r="Q98" s="638"/>
      <c r="R98" s="27"/>
    </row>
    <row r="99" spans="2:18" ht="15" customHeight="1" x14ac:dyDescent="0.25">
      <c r="B99" s="51"/>
      <c r="C99" s="24"/>
      <c r="D99" s="636"/>
      <c r="E99" s="637"/>
      <c r="F99" s="637"/>
      <c r="G99" s="637"/>
      <c r="H99" s="637"/>
      <c r="I99" s="637"/>
      <c r="J99" s="637"/>
      <c r="K99" s="637"/>
      <c r="L99" s="637"/>
      <c r="M99" s="637"/>
      <c r="N99" s="637"/>
      <c r="O99" s="637"/>
      <c r="P99" s="637"/>
      <c r="Q99" s="638"/>
      <c r="R99" s="27"/>
    </row>
    <row r="100" spans="2:18" ht="15" customHeight="1" x14ac:dyDescent="0.25">
      <c r="B100" s="51"/>
      <c r="C100" s="24"/>
      <c r="D100" s="639"/>
      <c r="E100" s="640"/>
      <c r="F100" s="640"/>
      <c r="G100" s="640"/>
      <c r="H100" s="640"/>
      <c r="I100" s="640"/>
      <c r="J100" s="640"/>
      <c r="K100" s="640"/>
      <c r="L100" s="640"/>
      <c r="M100" s="640"/>
      <c r="N100" s="640"/>
      <c r="O100" s="640"/>
      <c r="P100" s="640"/>
      <c r="Q100" s="641"/>
      <c r="R100" s="27"/>
    </row>
    <row r="101" spans="2:18" ht="16.5" thickBot="1" x14ac:dyDescent="0.3">
      <c r="B101" s="33"/>
      <c r="C101" s="28"/>
      <c r="D101" s="29"/>
      <c r="E101" s="343"/>
      <c r="F101" s="30"/>
      <c r="G101" s="30"/>
      <c r="H101" s="30"/>
      <c r="I101" s="30"/>
      <c r="J101" s="30"/>
      <c r="K101" s="30"/>
      <c r="L101" s="30"/>
      <c r="M101" s="30"/>
      <c r="N101" s="30"/>
      <c r="O101" s="30"/>
      <c r="P101" s="30"/>
      <c r="Q101" s="30"/>
      <c r="R101" s="31"/>
    </row>
    <row r="102" spans="2:18" x14ac:dyDescent="0.25">
      <c r="E102" s="338"/>
    </row>
    <row r="103" spans="2:18" ht="16.5" thickBot="1" x14ac:dyDescent="0.3">
      <c r="E103" s="338"/>
    </row>
    <row r="104" spans="2:18" ht="16.5" thickBot="1" x14ac:dyDescent="0.3">
      <c r="B104" s="340"/>
      <c r="C104" s="247"/>
      <c r="D104" s="246"/>
      <c r="E104" s="22"/>
      <c r="F104" s="22"/>
      <c r="G104" s="22"/>
      <c r="H104" s="22"/>
      <c r="I104" s="22"/>
      <c r="J104" s="22"/>
      <c r="K104" s="22"/>
      <c r="L104" s="22"/>
      <c r="M104" s="22"/>
      <c r="N104" s="22"/>
      <c r="O104" s="22"/>
      <c r="P104" s="22"/>
      <c r="Q104" s="22"/>
      <c r="R104" s="23"/>
    </row>
    <row r="105" spans="2:18" ht="19.5" thickBot="1" x14ac:dyDescent="0.35">
      <c r="B105" s="51"/>
      <c r="C105" s="302" t="str">
        <f>Modelo!F13</f>
        <v>Inversiones necesarias</v>
      </c>
      <c r="D105" s="25"/>
      <c r="E105" s="367">
        <f>E107+E117+E126</f>
        <v>20305</v>
      </c>
      <c r="F105" s="24"/>
      <c r="G105" s="26"/>
      <c r="H105" s="26"/>
      <c r="I105" s="26"/>
      <c r="J105" s="26"/>
      <c r="K105" s="26"/>
      <c r="L105" s="26"/>
      <c r="M105" s="26"/>
      <c r="N105" s="26"/>
      <c r="O105" s="26"/>
      <c r="P105" s="26"/>
      <c r="Q105" s="26"/>
      <c r="R105" s="27"/>
    </row>
    <row r="106" spans="2:18" ht="16.5" thickBot="1" x14ac:dyDescent="0.3">
      <c r="B106" s="51"/>
      <c r="C106" s="24"/>
      <c r="D106" s="25"/>
      <c r="E106" s="26"/>
      <c r="F106" s="26"/>
      <c r="G106" s="26"/>
      <c r="H106" s="26"/>
      <c r="I106" s="26"/>
      <c r="J106" s="26"/>
      <c r="K106" s="26"/>
      <c r="L106" s="26"/>
      <c r="M106" s="26"/>
      <c r="N106" s="26"/>
      <c r="O106" s="26"/>
      <c r="P106" s="26"/>
      <c r="Q106" s="26"/>
      <c r="R106" s="27"/>
    </row>
    <row r="107" spans="2:18" ht="16.5" thickBot="1" x14ac:dyDescent="0.3">
      <c r="B107" s="51"/>
      <c r="C107" s="374" t="s">
        <v>638</v>
      </c>
      <c r="D107" s="359"/>
      <c r="E107" s="360">
        <f>SUM(D109:D115)</f>
        <v>3700</v>
      </c>
      <c r="F107" s="26"/>
      <c r="G107" s="26"/>
      <c r="H107" s="26"/>
      <c r="I107" s="26"/>
      <c r="J107" s="26"/>
      <c r="K107" s="26"/>
      <c r="L107" s="26"/>
      <c r="M107" s="26"/>
      <c r="N107" s="26"/>
      <c r="O107" s="26"/>
      <c r="P107" s="26"/>
      <c r="Q107" s="26"/>
      <c r="R107" s="27"/>
    </row>
    <row r="108" spans="2:18" ht="16.5" thickBot="1" x14ac:dyDescent="0.3">
      <c r="B108" s="51"/>
      <c r="C108" s="24"/>
      <c r="D108" s="25"/>
      <c r="E108" s="26"/>
      <c r="F108" s="26"/>
      <c r="G108" s="26"/>
      <c r="H108" s="26"/>
      <c r="I108" s="26"/>
      <c r="J108" s="26"/>
      <c r="K108" s="26"/>
      <c r="L108" s="26"/>
      <c r="M108" s="26"/>
      <c r="N108" s="26"/>
      <c r="O108" s="26"/>
      <c r="P108" s="26"/>
      <c r="Q108" s="26"/>
      <c r="R108" s="27"/>
    </row>
    <row r="109" spans="2:18" x14ac:dyDescent="0.25">
      <c r="B109" s="51"/>
      <c r="C109" s="332" t="s">
        <v>656</v>
      </c>
      <c r="D109" s="361">
        <v>500</v>
      </c>
      <c r="E109" s="26" t="s">
        <v>829</v>
      </c>
      <c r="F109" s="26"/>
      <c r="G109" s="26"/>
      <c r="H109" s="26"/>
      <c r="I109" s="26"/>
      <c r="J109" s="26"/>
      <c r="K109" s="26"/>
      <c r="L109" s="26"/>
      <c r="M109" s="26"/>
      <c r="N109" s="26"/>
      <c r="O109" s="26"/>
      <c r="P109" s="26"/>
      <c r="Q109" s="26"/>
      <c r="R109" s="27"/>
    </row>
    <row r="110" spans="2:18" x14ac:dyDescent="0.25">
      <c r="B110" s="51"/>
      <c r="C110" s="205" t="s">
        <v>662</v>
      </c>
      <c r="D110" s="362">
        <v>400</v>
      </c>
      <c r="E110" s="26"/>
      <c r="F110" s="26"/>
      <c r="G110" s="26"/>
      <c r="H110" s="26"/>
      <c r="I110" s="26"/>
      <c r="J110" s="26"/>
      <c r="K110" s="26"/>
      <c r="L110" s="26"/>
      <c r="M110" s="26"/>
      <c r="N110" s="26"/>
      <c r="O110" s="26"/>
      <c r="P110" s="26"/>
      <c r="Q110" s="26"/>
      <c r="R110" s="27"/>
    </row>
    <row r="111" spans="2:18" x14ac:dyDescent="0.25">
      <c r="B111" s="51"/>
      <c r="C111" s="205" t="s">
        <v>658</v>
      </c>
      <c r="D111" s="362">
        <v>1200</v>
      </c>
      <c r="E111" s="26"/>
      <c r="F111" s="26"/>
      <c r="G111" s="26"/>
      <c r="H111" s="26"/>
      <c r="I111" s="26"/>
      <c r="J111" s="26"/>
      <c r="K111" s="26"/>
      <c r="L111" s="26"/>
      <c r="M111" s="26"/>
      <c r="N111" s="26"/>
      <c r="O111" s="26"/>
      <c r="P111" s="26"/>
      <c r="Q111" s="26"/>
      <c r="R111" s="27"/>
    </row>
    <row r="112" spans="2:18" x14ac:dyDescent="0.25">
      <c r="B112" s="51"/>
      <c r="C112" s="205" t="s">
        <v>660</v>
      </c>
      <c r="D112" s="362">
        <v>100</v>
      </c>
      <c r="E112" s="26"/>
      <c r="F112" s="26"/>
      <c r="G112" s="26"/>
      <c r="H112" s="26"/>
      <c r="I112" s="26"/>
      <c r="J112" s="26"/>
      <c r="K112" s="26"/>
      <c r="L112" s="26"/>
      <c r="M112" s="26"/>
      <c r="N112" s="26"/>
      <c r="O112" s="26"/>
      <c r="P112" s="26"/>
      <c r="Q112" s="26"/>
      <c r="R112" s="27"/>
    </row>
    <row r="113" spans="2:18" x14ac:dyDescent="0.25">
      <c r="B113" s="51"/>
      <c r="C113" s="205" t="s">
        <v>659</v>
      </c>
      <c r="D113" s="362">
        <v>300</v>
      </c>
      <c r="E113" s="26"/>
      <c r="F113" s="26"/>
      <c r="G113" s="26"/>
      <c r="H113" s="26"/>
      <c r="I113" s="26"/>
      <c r="J113" s="26"/>
      <c r="K113" s="26"/>
      <c r="L113" s="26"/>
      <c r="M113" s="26"/>
      <c r="N113" s="26"/>
      <c r="O113" s="26"/>
      <c r="P113" s="26"/>
      <c r="Q113" s="26"/>
      <c r="R113" s="27"/>
    </row>
    <row r="114" spans="2:18" x14ac:dyDescent="0.25">
      <c r="B114" s="51"/>
      <c r="C114" s="205" t="s">
        <v>661</v>
      </c>
      <c r="D114" s="362">
        <v>1000</v>
      </c>
      <c r="E114" s="26"/>
      <c r="F114" s="26"/>
      <c r="G114" s="26"/>
      <c r="H114" s="26"/>
      <c r="I114" s="26"/>
      <c r="J114" s="26"/>
      <c r="K114" s="26"/>
      <c r="L114" s="26"/>
      <c r="M114" s="26"/>
      <c r="N114" s="26"/>
      <c r="O114" s="26"/>
      <c r="P114" s="26"/>
      <c r="Q114" s="26"/>
      <c r="R114" s="27"/>
    </row>
    <row r="115" spans="2:18" ht="16.5" thickBot="1" x14ac:dyDescent="0.3">
      <c r="B115" s="51"/>
      <c r="C115" s="207" t="s">
        <v>588</v>
      </c>
      <c r="D115" s="363">
        <v>200</v>
      </c>
      <c r="E115" s="26"/>
      <c r="F115" s="26"/>
      <c r="G115" s="26"/>
      <c r="H115" s="26"/>
      <c r="I115" s="26"/>
      <c r="J115" s="26"/>
      <c r="K115" s="26"/>
      <c r="L115" s="26"/>
      <c r="M115" s="26"/>
      <c r="N115" s="26"/>
      <c r="O115" s="26"/>
      <c r="P115" s="26"/>
      <c r="Q115" s="26"/>
      <c r="R115" s="27"/>
    </row>
    <row r="116" spans="2:18" ht="16.5" thickBot="1" x14ac:dyDescent="0.3">
      <c r="B116" s="51"/>
      <c r="C116" s="26"/>
      <c r="D116" s="353"/>
      <c r="E116" s="26"/>
      <c r="F116" s="26"/>
      <c r="G116" s="26"/>
      <c r="H116" s="26"/>
      <c r="I116" s="26"/>
      <c r="J116" s="26"/>
      <c r="K116" s="26"/>
      <c r="L116" s="26"/>
      <c r="M116" s="26"/>
      <c r="N116" s="26"/>
      <c r="O116" s="26"/>
      <c r="P116" s="26"/>
      <c r="Q116" s="26"/>
      <c r="R116" s="27"/>
    </row>
    <row r="117" spans="2:18" ht="16.5" thickBot="1" x14ac:dyDescent="0.3">
      <c r="B117" s="51"/>
      <c r="C117" s="374" t="s">
        <v>636</v>
      </c>
      <c r="D117" s="359"/>
      <c r="E117" s="360">
        <f>SUM(D119:D124)</f>
        <v>2360</v>
      </c>
      <c r="F117" s="26" t="s">
        <v>831</v>
      </c>
      <c r="G117" s="26"/>
      <c r="H117" s="26"/>
      <c r="I117" s="26"/>
      <c r="J117" s="26"/>
      <c r="K117" s="26"/>
      <c r="L117" s="26"/>
      <c r="M117" s="26"/>
      <c r="N117" s="26"/>
      <c r="O117" s="26"/>
      <c r="P117" s="26"/>
      <c r="Q117" s="26"/>
      <c r="R117" s="27"/>
    </row>
    <row r="118" spans="2:18" ht="16.5" thickBot="1" x14ac:dyDescent="0.3">
      <c r="B118" s="51"/>
      <c r="C118" s="24"/>
      <c r="D118" s="353"/>
      <c r="E118" s="26"/>
      <c r="F118" s="26" t="s">
        <v>832</v>
      </c>
      <c r="G118" s="26"/>
      <c r="H118" s="26"/>
      <c r="I118" s="26"/>
      <c r="J118" s="26"/>
      <c r="K118" s="26"/>
      <c r="L118" s="26"/>
      <c r="M118" s="26"/>
      <c r="N118" s="26"/>
      <c r="O118" s="26"/>
      <c r="P118" s="26"/>
      <c r="Q118" s="26"/>
      <c r="R118" s="27"/>
    </row>
    <row r="119" spans="2:18" x14ac:dyDescent="0.25">
      <c r="B119" s="51"/>
      <c r="C119" s="332" t="s">
        <v>642</v>
      </c>
      <c r="D119" s="361">
        <v>10</v>
      </c>
      <c r="E119" s="26"/>
      <c r="F119" s="26" t="s">
        <v>833</v>
      </c>
      <c r="G119" s="26"/>
      <c r="H119" s="26"/>
      <c r="I119" s="26"/>
      <c r="J119" s="26"/>
      <c r="K119" s="26"/>
      <c r="L119" s="26"/>
      <c r="M119" s="26"/>
      <c r="N119" s="26"/>
      <c r="O119" s="26"/>
      <c r="P119" s="26"/>
      <c r="Q119" s="26"/>
      <c r="R119" s="27"/>
    </row>
    <row r="120" spans="2:18" x14ac:dyDescent="0.25">
      <c r="B120" s="51"/>
      <c r="C120" s="205" t="s">
        <v>668</v>
      </c>
      <c r="D120" s="362">
        <v>750</v>
      </c>
      <c r="E120" s="26"/>
      <c r="F120" s="26"/>
      <c r="G120" s="26"/>
      <c r="H120" s="26"/>
      <c r="I120" s="26"/>
      <c r="J120" s="26"/>
      <c r="K120" s="26"/>
      <c r="L120" s="26"/>
      <c r="M120" s="26"/>
      <c r="N120" s="26"/>
      <c r="O120" s="26"/>
      <c r="P120" s="26"/>
      <c r="Q120" s="26"/>
      <c r="R120" s="27"/>
    </row>
    <row r="121" spans="2:18" x14ac:dyDescent="0.25">
      <c r="B121" s="51"/>
      <c r="C121" s="205" t="s">
        <v>830</v>
      </c>
      <c r="D121" s="362">
        <v>300</v>
      </c>
      <c r="E121" s="26"/>
      <c r="F121" s="26"/>
      <c r="G121" s="26"/>
      <c r="H121" s="26"/>
      <c r="I121" s="26"/>
      <c r="J121" s="26"/>
      <c r="K121" s="26"/>
      <c r="L121" s="26"/>
      <c r="M121" s="26"/>
      <c r="N121" s="26"/>
      <c r="O121" s="26"/>
      <c r="P121" s="26"/>
      <c r="Q121" s="26"/>
      <c r="R121" s="27"/>
    </row>
    <row r="122" spans="2:18" x14ac:dyDescent="0.25">
      <c r="B122" s="51"/>
      <c r="C122" s="205" t="s">
        <v>723</v>
      </c>
      <c r="D122" s="362">
        <v>200</v>
      </c>
      <c r="E122" s="26"/>
      <c r="F122" s="26"/>
      <c r="G122" s="26"/>
      <c r="H122" s="26"/>
      <c r="I122" s="26"/>
      <c r="J122" s="26"/>
      <c r="K122" s="26"/>
      <c r="L122" s="26"/>
      <c r="M122" s="26"/>
      <c r="N122" s="26"/>
      <c r="O122" s="26"/>
      <c r="P122" s="26"/>
      <c r="Q122" s="26"/>
      <c r="R122" s="27"/>
    </row>
    <row r="123" spans="2:18" x14ac:dyDescent="0.25">
      <c r="B123" s="51"/>
      <c r="C123" s="205" t="s">
        <v>643</v>
      </c>
      <c r="D123" s="362">
        <v>100</v>
      </c>
      <c r="E123" s="26"/>
      <c r="F123" s="26"/>
      <c r="G123" s="26"/>
      <c r="H123" s="26"/>
      <c r="I123" s="26"/>
      <c r="J123" s="26"/>
      <c r="K123" s="26"/>
      <c r="L123" s="26"/>
      <c r="M123" s="26"/>
      <c r="N123" s="26"/>
      <c r="O123" s="26"/>
      <c r="P123" s="26"/>
      <c r="Q123" s="26"/>
      <c r="R123" s="27"/>
    </row>
    <row r="124" spans="2:18" ht="16.5" thickBot="1" x14ac:dyDescent="0.3">
      <c r="B124" s="51"/>
      <c r="C124" s="207" t="s">
        <v>588</v>
      </c>
      <c r="D124" s="363">
        <v>1000</v>
      </c>
      <c r="E124" s="26"/>
      <c r="F124" s="26"/>
      <c r="G124" s="26"/>
      <c r="H124" s="26"/>
      <c r="I124" s="26"/>
      <c r="J124" s="26"/>
      <c r="K124" s="26"/>
      <c r="L124" s="26"/>
      <c r="M124" s="26"/>
      <c r="N124" s="26"/>
      <c r="O124" s="26"/>
      <c r="P124" s="26"/>
      <c r="Q124" s="26"/>
      <c r="R124" s="27"/>
    </row>
    <row r="125" spans="2:18" ht="16.5" thickBot="1" x14ac:dyDescent="0.3">
      <c r="B125" s="51"/>
      <c r="C125" s="24"/>
      <c r="D125" s="353"/>
      <c r="E125" s="26"/>
      <c r="F125" s="26"/>
      <c r="G125" s="26"/>
      <c r="H125" s="26"/>
      <c r="I125" s="26"/>
      <c r="J125" s="26"/>
      <c r="K125" s="26"/>
      <c r="L125" s="26"/>
      <c r="M125" s="26"/>
      <c r="N125" s="26"/>
      <c r="O125" s="26"/>
      <c r="P125" s="26"/>
      <c r="Q125" s="26"/>
      <c r="R125" s="27"/>
    </row>
    <row r="126" spans="2:18" ht="16.5" thickBot="1" x14ac:dyDescent="0.3">
      <c r="B126" s="51"/>
      <c r="C126" s="374" t="s">
        <v>663</v>
      </c>
      <c r="D126" s="359"/>
      <c r="E126" s="360">
        <f>SUM(D128:D151)</f>
        <v>14245</v>
      </c>
      <c r="F126" s="26"/>
      <c r="G126" s="26"/>
      <c r="H126" s="26"/>
      <c r="I126" s="26"/>
      <c r="J126" s="26"/>
      <c r="K126" s="26"/>
      <c r="L126" s="26"/>
      <c r="M126" s="26"/>
      <c r="N126" s="26"/>
      <c r="O126" s="26"/>
      <c r="P126" s="26"/>
      <c r="Q126" s="26"/>
      <c r="R126" s="27"/>
    </row>
    <row r="127" spans="2:18" ht="16.5" thickBot="1" x14ac:dyDescent="0.3">
      <c r="B127" s="51"/>
      <c r="C127" s="26"/>
      <c r="D127" s="353"/>
      <c r="E127" s="26"/>
      <c r="F127" s="26"/>
      <c r="G127" s="26"/>
      <c r="H127" s="26"/>
      <c r="I127" s="26"/>
      <c r="J127" s="26"/>
      <c r="K127" s="26"/>
      <c r="L127" s="26"/>
      <c r="M127" s="26"/>
      <c r="N127" s="26"/>
      <c r="O127" s="26"/>
      <c r="P127" s="26"/>
      <c r="Q127" s="26"/>
      <c r="R127" s="27"/>
    </row>
    <row r="128" spans="2:18" x14ac:dyDescent="0.25">
      <c r="B128" s="51"/>
      <c r="C128" s="332" t="s">
        <v>678</v>
      </c>
      <c r="D128" s="361">
        <v>600</v>
      </c>
      <c r="E128" s="26"/>
      <c r="F128" s="354"/>
      <c r="G128" s="26"/>
      <c r="H128" s="26"/>
      <c r="I128" s="26"/>
      <c r="J128" s="26"/>
      <c r="K128" s="26"/>
      <c r="L128" s="26"/>
      <c r="M128" s="26"/>
      <c r="N128" s="26"/>
      <c r="O128" s="26"/>
      <c r="P128" s="26"/>
      <c r="Q128" s="26"/>
      <c r="R128" s="27"/>
    </row>
    <row r="129" spans="2:18" ht="16.5" thickBot="1" x14ac:dyDescent="0.3">
      <c r="B129" s="51"/>
      <c r="C129" s="207" t="s">
        <v>666</v>
      </c>
      <c r="D129" s="363">
        <v>2000</v>
      </c>
      <c r="E129" s="26"/>
      <c r="F129" s="26"/>
      <c r="G129" s="26"/>
      <c r="H129" s="26"/>
      <c r="I129" s="26"/>
      <c r="J129" s="26"/>
      <c r="K129" s="26"/>
      <c r="L129" s="26"/>
      <c r="M129" s="26"/>
      <c r="N129" s="26"/>
      <c r="O129" s="26"/>
      <c r="P129" s="26"/>
      <c r="Q129" s="26"/>
      <c r="R129" s="27"/>
    </row>
    <row r="130" spans="2:18" thickBot="1" x14ac:dyDescent="0.3">
      <c r="B130" s="51"/>
      <c r="C130" s="26"/>
      <c r="D130" s="26"/>
      <c r="E130" s="26"/>
      <c r="F130" s="26"/>
      <c r="G130" s="26"/>
      <c r="H130" s="26"/>
      <c r="I130" s="26"/>
      <c r="J130" s="26"/>
      <c r="K130" s="26"/>
      <c r="L130" s="26"/>
      <c r="M130" s="26"/>
      <c r="N130" s="26"/>
      <c r="O130" s="26"/>
      <c r="P130" s="26"/>
      <c r="Q130" s="26"/>
      <c r="R130" s="27"/>
    </row>
    <row r="131" spans="2:18" thickBot="1" x14ac:dyDescent="0.3">
      <c r="B131" s="51"/>
      <c r="C131" s="26"/>
      <c r="D131" s="26"/>
      <c r="E131" s="385" t="s">
        <v>710</v>
      </c>
      <c r="F131" s="386" t="s">
        <v>711</v>
      </c>
      <c r="G131" s="26"/>
      <c r="H131" s="26"/>
      <c r="I131" s="26"/>
      <c r="J131" s="26"/>
      <c r="K131" s="26"/>
      <c r="L131" s="26"/>
      <c r="M131" s="26"/>
      <c r="N131" s="26"/>
      <c r="O131" s="26"/>
      <c r="P131" s="26"/>
      <c r="Q131" s="26"/>
      <c r="R131" s="27"/>
    </row>
    <row r="132" spans="2:18" x14ac:dyDescent="0.25">
      <c r="B132" s="51"/>
      <c r="C132" s="332" t="s">
        <v>665</v>
      </c>
      <c r="D132" s="366">
        <v>2100</v>
      </c>
      <c r="E132" s="390">
        <v>10</v>
      </c>
      <c r="F132" s="350">
        <f>D132/E132/12</f>
        <v>17.5</v>
      </c>
      <c r="G132" s="26" t="s">
        <v>877</v>
      </c>
      <c r="H132" s="26"/>
      <c r="I132" s="26"/>
      <c r="J132" s="26"/>
      <c r="K132" s="26"/>
      <c r="L132" s="26"/>
      <c r="M132" s="26"/>
      <c r="N132" s="26"/>
      <c r="O132" s="26"/>
      <c r="P132" s="26"/>
      <c r="Q132" s="26"/>
      <c r="R132" s="27"/>
    </row>
    <row r="133" spans="2:18" x14ac:dyDescent="0.25">
      <c r="B133" s="51"/>
      <c r="C133" s="205" t="s">
        <v>641</v>
      </c>
      <c r="D133" s="364">
        <v>2400</v>
      </c>
      <c r="E133" s="391">
        <v>4</v>
      </c>
      <c r="F133" s="351">
        <f>D133/E133/12</f>
        <v>50</v>
      </c>
      <c r="G133" s="26" t="s">
        <v>876</v>
      </c>
      <c r="H133" s="26"/>
      <c r="I133" s="26"/>
      <c r="J133" s="26"/>
      <c r="K133" s="26"/>
      <c r="L133" s="26"/>
      <c r="M133" s="26"/>
      <c r="N133" s="26"/>
      <c r="O133" s="26"/>
      <c r="P133" s="26"/>
      <c r="Q133" s="26"/>
      <c r="R133" s="27"/>
    </row>
    <row r="134" spans="2:18" x14ac:dyDescent="0.25">
      <c r="B134" s="51"/>
      <c r="C134" s="205" t="s">
        <v>664</v>
      </c>
      <c r="D134" s="364">
        <v>600</v>
      </c>
      <c r="E134" s="391">
        <v>4</v>
      </c>
      <c r="F134" s="351">
        <f>D134/E134/12</f>
        <v>12.5</v>
      </c>
      <c r="G134" s="26"/>
      <c r="H134" s="26"/>
      <c r="I134" s="26"/>
      <c r="J134" s="26"/>
      <c r="K134" s="26"/>
      <c r="L134" s="26"/>
      <c r="M134" s="26"/>
      <c r="N134" s="26"/>
      <c r="O134" s="26"/>
      <c r="P134" s="26"/>
      <c r="Q134" s="26"/>
      <c r="R134" s="27"/>
    </row>
    <row r="135" spans="2:18" x14ac:dyDescent="0.25">
      <c r="B135" s="51"/>
      <c r="C135" s="205" t="s">
        <v>639</v>
      </c>
      <c r="D135" s="364">
        <v>0</v>
      </c>
      <c r="E135" s="391">
        <v>14</v>
      </c>
      <c r="F135" s="351">
        <f>D135/E135/12</f>
        <v>0</v>
      </c>
      <c r="G135" s="26"/>
      <c r="H135" s="26"/>
      <c r="I135" s="26"/>
      <c r="J135" s="26"/>
      <c r="K135" s="26"/>
      <c r="L135" s="26"/>
      <c r="M135" s="26"/>
      <c r="N135" s="26"/>
      <c r="O135" s="26"/>
      <c r="P135" s="26"/>
      <c r="Q135" s="26"/>
      <c r="R135" s="27"/>
    </row>
    <row r="136" spans="2:18" ht="16.5" thickBot="1" x14ac:dyDescent="0.3">
      <c r="B136" s="51"/>
      <c r="C136" s="207" t="s">
        <v>667</v>
      </c>
      <c r="D136" s="365">
        <v>0</v>
      </c>
      <c r="E136" s="392">
        <v>10</v>
      </c>
      <c r="F136" s="352">
        <f>D136/E136/12</f>
        <v>0</v>
      </c>
      <c r="G136" s="26"/>
      <c r="H136" s="26"/>
      <c r="I136" s="26"/>
      <c r="J136" s="26"/>
      <c r="K136" s="26"/>
      <c r="L136" s="26"/>
      <c r="M136" s="26"/>
      <c r="N136" s="26"/>
      <c r="O136" s="26"/>
      <c r="P136" s="26"/>
      <c r="Q136" s="26"/>
      <c r="R136" s="27"/>
    </row>
    <row r="137" spans="2:18" thickBot="1" x14ac:dyDescent="0.3">
      <c r="B137" s="51"/>
      <c r="C137" s="26"/>
      <c r="D137" s="26"/>
      <c r="E137" s="26"/>
      <c r="F137" s="26"/>
      <c r="G137" s="26"/>
      <c r="H137" s="26"/>
      <c r="I137" s="26"/>
      <c r="J137" s="26"/>
      <c r="K137" s="26"/>
      <c r="L137" s="26"/>
      <c r="M137" s="26"/>
      <c r="N137" s="26"/>
      <c r="O137" s="26"/>
      <c r="P137" s="26"/>
      <c r="Q137" s="26"/>
      <c r="R137" s="27"/>
    </row>
    <row r="138" spans="2:18" x14ac:dyDescent="0.25">
      <c r="B138" s="51"/>
      <c r="C138" s="332" t="s">
        <v>702</v>
      </c>
      <c r="D138" s="361">
        <v>300</v>
      </c>
      <c r="E138" s="26"/>
      <c r="F138" s="26"/>
      <c r="G138" s="26"/>
      <c r="H138" s="26"/>
      <c r="I138" s="26"/>
      <c r="J138" s="26"/>
      <c r="K138" s="26"/>
      <c r="L138" s="26"/>
      <c r="M138" s="26"/>
      <c r="N138" s="26"/>
      <c r="O138" s="26"/>
      <c r="P138" s="26"/>
      <c r="Q138" s="26"/>
      <c r="R138" s="27"/>
    </row>
    <row r="139" spans="2:18" x14ac:dyDescent="0.25">
      <c r="B139" s="51"/>
      <c r="C139" s="205" t="s">
        <v>672</v>
      </c>
      <c r="D139" s="362">
        <v>60</v>
      </c>
      <c r="E139" s="26"/>
      <c r="F139" s="26"/>
      <c r="G139" s="26"/>
      <c r="H139" s="26"/>
      <c r="I139" s="26"/>
      <c r="J139" s="26"/>
      <c r="K139" s="26"/>
      <c r="L139" s="26"/>
      <c r="M139" s="26"/>
      <c r="N139" s="26"/>
      <c r="O139" s="26"/>
      <c r="P139" s="26"/>
      <c r="Q139" s="26"/>
      <c r="R139" s="27"/>
    </row>
    <row r="140" spans="2:18" x14ac:dyDescent="0.25">
      <c r="B140" s="51"/>
      <c r="C140" s="205" t="s">
        <v>673</v>
      </c>
      <c r="D140" s="362">
        <v>30</v>
      </c>
      <c r="E140" s="26"/>
      <c r="F140" s="26"/>
      <c r="G140" s="26"/>
      <c r="H140" s="26"/>
      <c r="I140" s="26"/>
      <c r="J140" s="26"/>
      <c r="K140" s="26"/>
      <c r="L140" s="26"/>
      <c r="M140" s="26"/>
      <c r="N140" s="26"/>
      <c r="O140" s="26"/>
      <c r="P140" s="26"/>
      <c r="Q140" s="26"/>
      <c r="R140" s="27"/>
    </row>
    <row r="141" spans="2:18" x14ac:dyDescent="0.25">
      <c r="B141" s="51"/>
      <c r="C141" s="205" t="s">
        <v>675</v>
      </c>
      <c r="D141" s="362">
        <v>125</v>
      </c>
      <c r="E141" s="26"/>
      <c r="F141" s="26"/>
      <c r="G141" s="26"/>
      <c r="H141" s="26"/>
      <c r="I141" s="26"/>
      <c r="J141" s="26"/>
      <c r="K141" s="26"/>
      <c r="L141" s="26"/>
      <c r="M141" s="26"/>
      <c r="N141" s="26"/>
      <c r="O141" s="26"/>
      <c r="P141" s="26"/>
      <c r="Q141" s="26"/>
      <c r="R141" s="27"/>
    </row>
    <row r="142" spans="2:18" x14ac:dyDescent="0.25">
      <c r="B142" s="51"/>
      <c r="C142" s="205" t="s">
        <v>729</v>
      </c>
      <c r="D142" s="362">
        <v>50</v>
      </c>
      <c r="E142" s="26"/>
      <c r="F142" s="26"/>
      <c r="G142" s="26"/>
      <c r="H142" s="26"/>
      <c r="I142" s="26"/>
      <c r="J142" s="26"/>
      <c r="K142" s="26"/>
      <c r="L142" s="26"/>
      <c r="M142" s="26"/>
      <c r="N142" s="26"/>
      <c r="O142" s="26"/>
      <c r="P142" s="26"/>
      <c r="Q142" s="26"/>
      <c r="R142" s="27"/>
    </row>
    <row r="143" spans="2:18" x14ac:dyDescent="0.25">
      <c r="B143" s="51"/>
      <c r="C143" s="205" t="s">
        <v>728</v>
      </c>
      <c r="D143" s="362">
        <v>50</v>
      </c>
      <c r="E143" s="26"/>
      <c r="F143" s="26"/>
      <c r="G143" s="26"/>
      <c r="H143" s="26"/>
      <c r="I143" s="26"/>
      <c r="J143" s="26"/>
      <c r="K143" s="26"/>
      <c r="L143" s="26"/>
      <c r="M143" s="26"/>
      <c r="N143" s="26"/>
      <c r="O143" s="26"/>
      <c r="P143" s="26"/>
      <c r="Q143" s="26"/>
      <c r="R143" s="27"/>
    </row>
    <row r="144" spans="2:18" x14ac:dyDescent="0.25">
      <c r="B144" s="51"/>
      <c r="C144" s="205" t="s">
        <v>674</v>
      </c>
      <c r="D144" s="362">
        <v>250</v>
      </c>
      <c r="E144" s="26"/>
      <c r="F144" s="26"/>
      <c r="G144" s="26"/>
      <c r="H144" s="26"/>
      <c r="I144" s="26"/>
      <c r="J144" s="26"/>
      <c r="K144" s="26"/>
      <c r="L144" s="26"/>
      <c r="M144" s="26"/>
      <c r="N144" s="26"/>
      <c r="O144" s="26"/>
      <c r="P144" s="26"/>
      <c r="Q144" s="26"/>
      <c r="R144" s="27"/>
    </row>
    <row r="145" spans="2:18" x14ac:dyDescent="0.25">
      <c r="B145" s="51"/>
      <c r="C145" s="205" t="s">
        <v>676</v>
      </c>
      <c r="D145" s="362">
        <v>2000</v>
      </c>
      <c r="E145" s="26"/>
      <c r="F145" s="26"/>
      <c r="G145" s="26"/>
      <c r="H145" s="26"/>
      <c r="I145" s="26"/>
      <c r="J145" s="26"/>
      <c r="K145" s="26"/>
      <c r="L145" s="26"/>
      <c r="M145" s="26"/>
      <c r="N145" s="26"/>
      <c r="O145" s="26"/>
      <c r="P145" s="26"/>
      <c r="Q145" s="26"/>
      <c r="R145" s="27"/>
    </row>
    <row r="146" spans="2:18" x14ac:dyDescent="0.25">
      <c r="B146" s="51"/>
      <c r="C146" s="205" t="s">
        <v>679</v>
      </c>
      <c r="D146" s="351">
        <f>0.32*D145</f>
        <v>640</v>
      </c>
      <c r="E146" s="26"/>
      <c r="F146" s="26"/>
      <c r="G146" s="26"/>
      <c r="H146" s="26"/>
      <c r="I146" s="26"/>
      <c r="J146" s="26"/>
      <c r="K146" s="26"/>
      <c r="L146" s="26"/>
      <c r="M146" s="26"/>
      <c r="N146" s="26"/>
      <c r="O146" s="26"/>
      <c r="P146" s="26"/>
      <c r="Q146" s="26"/>
      <c r="R146" s="27"/>
    </row>
    <row r="147" spans="2:18" x14ac:dyDescent="0.25">
      <c r="B147" s="51"/>
      <c r="C147" s="205" t="s">
        <v>677</v>
      </c>
      <c r="D147" s="362">
        <v>2000</v>
      </c>
      <c r="E147" s="26"/>
      <c r="F147" s="26"/>
      <c r="G147" s="26"/>
      <c r="H147" s="26"/>
      <c r="I147" s="26"/>
      <c r="J147" s="26"/>
      <c r="K147" s="26"/>
      <c r="L147" s="26"/>
      <c r="M147" s="26"/>
      <c r="N147" s="26"/>
      <c r="O147" s="26"/>
      <c r="P147" s="26"/>
      <c r="Q147" s="26"/>
      <c r="R147" s="27"/>
    </row>
    <row r="148" spans="2:18" x14ac:dyDescent="0.25">
      <c r="B148" s="51"/>
      <c r="C148" s="205" t="s">
        <v>680</v>
      </c>
      <c r="D148" s="351">
        <f>0.32*D147</f>
        <v>640</v>
      </c>
      <c r="E148" s="26"/>
      <c r="F148" s="26"/>
      <c r="G148" s="26"/>
      <c r="H148" s="26"/>
      <c r="I148" s="26"/>
      <c r="J148" s="26"/>
      <c r="K148" s="26"/>
      <c r="L148" s="26"/>
      <c r="M148" s="26"/>
      <c r="N148" s="26"/>
      <c r="O148" s="26"/>
      <c r="P148" s="26"/>
      <c r="Q148" s="26"/>
      <c r="R148" s="27"/>
    </row>
    <row r="149" spans="2:18" ht="16.5" thickBot="1" x14ac:dyDescent="0.3">
      <c r="B149" s="51"/>
      <c r="C149" s="207" t="s">
        <v>724</v>
      </c>
      <c r="D149" s="363">
        <v>400</v>
      </c>
      <c r="E149" s="26"/>
      <c r="F149" s="26"/>
      <c r="G149" s="26"/>
      <c r="H149" s="26"/>
      <c r="I149" s="26"/>
      <c r="J149" s="26"/>
      <c r="K149" s="26"/>
      <c r="L149" s="26"/>
      <c r="M149" s="26"/>
      <c r="N149" s="26"/>
      <c r="O149" s="26"/>
      <c r="P149" s="26"/>
      <c r="Q149" s="26"/>
      <c r="R149" s="27"/>
    </row>
    <row r="150" spans="2:18" thickBot="1" x14ac:dyDescent="0.3">
      <c r="B150" s="51"/>
      <c r="C150" s="26"/>
      <c r="D150" s="26"/>
      <c r="E150" s="26"/>
      <c r="F150" s="26"/>
      <c r="G150" s="26"/>
      <c r="H150" s="26"/>
      <c r="I150" s="26"/>
      <c r="J150" s="26"/>
      <c r="K150" s="26"/>
      <c r="L150" s="26"/>
      <c r="M150" s="26"/>
      <c r="N150" s="26"/>
      <c r="O150" s="26"/>
      <c r="P150" s="26"/>
      <c r="Q150" s="26"/>
      <c r="R150" s="27"/>
    </row>
    <row r="151" spans="2:18" ht="16.5" thickBot="1" x14ac:dyDescent="0.3">
      <c r="B151" s="51"/>
      <c r="C151" s="368" t="s">
        <v>640</v>
      </c>
      <c r="D151" s="372">
        <v>0</v>
      </c>
      <c r="E151" s="26" t="s">
        <v>889</v>
      </c>
      <c r="F151" s="26"/>
      <c r="G151" s="26"/>
      <c r="H151" s="26"/>
      <c r="I151" s="26"/>
      <c r="J151" s="26"/>
      <c r="K151" s="26"/>
      <c r="L151" s="26"/>
      <c r="M151" s="26"/>
      <c r="N151" s="26"/>
      <c r="O151" s="26"/>
      <c r="P151" s="26"/>
      <c r="Q151" s="26"/>
      <c r="R151" s="27"/>
    </row>
    <row r="152" spans="2:18" ht="16.5" thickBot="1" x14ac:dyDescent="0.3">
      <c r="B152" s="33"/>
      <c r="C152" s="30"/>
      <c r="D152" s="369"/>
      <c r="E152" s="30"/>
      <c r="F152" s="30"/>
      <c r="G152" s="30"/>
      <c r="H152" s="30"/>
      <c r="I152" s="30"/>
      <c r="J152" s="30"/>
      <c r="K152" s="30"/>
      <c r="L152" s="30"/>
      <c r="M152" s="30"/>
      <c r="N152" s="30"/>
      <c r="O152" s="30"/>
      <c r="P152" s="30"/>
      <c r="Q152" s="30"/>
      <c r="R152" s="31"/>
    </row>
    <row r="153" spans="2:18" ht="16.5" thickBot="1" x14ac:dyDescent="0.3">
      <c r="D153" s="339"/>
    </row>
    <row r="154" spans="2:18" ht="16.5" thickBot="1" x14ac:dyDescent="0.3">
      <c r="B154" s="340"/>
      <c r="C154" s="247"/>
      <c r="D154" s="370"/>
      <c r="E154" s="22"/>
      <c r="F154" s="22"/>
      <c r="G154" s="22"/>
      <c r="H154" s="22"/>
      <c r="I154" s="22"/>
      <c r="J154" s="22"/>
      <c r="K154" s="22"/>
      <c r="L154" s="22"/>
      <c r="M154" s="22"/>
      <c r="N154" s="22"/>
      <c r="O154" s="22"/>
      <c r="P154" s="22"/>
      <c r="Q154" s="22"/>
      <c r="R154" s="23"/>
    </row>
    <row r="155" spans="2:18" ht="19.5" thickBot="1" x14ac:dyDescent="0.35">
      <c r="B155" s="51"/>
      <c r="C155" s="302" t="str">
        <f>Modelo!F15</f>
        <v>Financiación</v>
      </c>
      <c r="D155" s="25"/>
      <c r="E155" s="367">
        <f>E157+E162+E166</f>
        <v>20305</v>
      </c>
      <c r="F155" s="24"/>
      <c r="G155" s="26"/>
      <c r="H155" s="26"/>
      <c r="I155" s="26"/>
      <c r="J155" s="26"/>
      <c r="K155" s="26"/>
      <c r="L155" s="26"/>
      <c r="M155" s="26"/>
      <c r="N155" s="26"/>
      <c r="O155" s="26"/>
      <c r="P155" s="26"/>
      <c r="Q155" s="26"/>
      <c r="R155" s="27"/>
    </row>
    <row r="156" spans="2:18" ht="16.5" thickBot="1" x14ac:dyDescent="0.3">
      <c r="B156" s="51"/>
      <c r="C156" s="24"/>
      <c r="D156" s="353"/>
      <c r="E156" s="26"/>
      <c r="F156" s="26"/>
      <c r="G156" s="26"/>
      <c r="H156" s="26"/>
      <c r="I156" s="26"/>
      <c r="J156" s="26"/>
      <c r="K156" s="26"/>
      <c r="L156" s="26"/>
      <c r="M156" s="26"/>
      <c r="N156" s="26"/>
      <c r="O156" s="26"/>
      <c r="P156" s="26"/>
      <c r="Q156" s="26"/>
      <c r="R156" s="27"/>
    </row>
    <row r="157" spans="2:18" ht="16.5" thickBot="1" x14ac:dyDescent="0.3">
      <c r="B157" s="51"/>
      <c r="C157" s="374" t="s">
        <v>698</v>
      </c>
      <c r="D157" s="359"/>
      <c r="E157" s="360">
        <f>SUM(D159:D160)</f>
        <v>13000</v>
      </c>
      <c r="F157" s="26"/>
      <c r="G157" s="26"/>
      <c r="H157" s="26"/>
      <c r="I157" s="26"/>
      <c r="J157" s="26"/>
      <c r="K157" s="26"/>
      <c r="L157" s="26"/>
      <c r="M157" s="26"/>
      <c r="N157" s="26"/>
      <c r="O157" s="26"/>
      <c r="P157" s="26"/>
      <c r="Q157" s="26"/>
      <c r="R157" s="27"/>
    </row>
    <row r="158" spans="2:18" ht="16.5" thickBot="1" x14ac:dyDescent="0.3">
      <c r="B158" s="51"/>
      <c r="C158" s="371"/>
      <c r="D158" s="353"/>
      <c r="E158" s="26"/>
      <c r="F158" s="26"/>
      <c r="G158" s="26"/>
      <c r="H158" s="26"/>
      <c r="I158" s="26"/>
      <c r="J158" s="26"/>
      <c r="K158" s="26"/>
      <c r="L158" s="26"/>
      <c r="M158" s="26"/>
      <c r="N158" s="26"/>
      <c r="O158" s="26"/>
      <c r="P158" s="26"/>
      <c r="Q158" s="26"/>
      <c r="R158" s="27"/>
    </row>
    <row r="159" spans="2:18" x14ac:dyDescent="0.25">
      <c r="B159" s="51"/>
      <c r="C159" s="332" t="s">
        <v>637</v>
      </c>
      <c r="D159" s="361">
        <v>10000</v>
      </c>
      <c r="E159" s="26"/>
      <c r="F159" s="26"/>
      <c r="G159" s="26"/>
      <c r="H159" s="26"/>
      <c r="I159" s="26"/>
      <c r="J159" s="26"/>
      <c r="K159" s="26"/>
      <c r="L159" s="26"/>
      <c r="M159" s="26"/>
      <c r="N159" s="26"/>
      <c r="O159" s="26"/>
      <c r="P159" s="26"/>
      <c r="Q159" s="26"/>
      <c r="R159" s="27"/>
    </row>
    <row r="160" spans="2:18" ht="16.5" thickBot="1" x14ac:dyDescent="0.3">
      <c r="B160" s="51"/>
      <c r="C160" s="207" t="s">
        <v>669</v>
      </c>
      <c r="D160" s="363">
        <v>3000</v>
      </c>
      <c r="E160" s="26" t="s">
        <v>835</v>
      </c>
      <c r="F160" s="26"/>
      <c r="G160" s="26"/>
      <c r="H160" s="26"/>
      <c r="I160" s="26"/>
      <c r="J160" s="26"/>
      <c r="K160" s="26"/>
      <c r="L160" s="26"/>
      <c r="M160" s="26"/>
      <c r="N160" s="26"/>
      <c r="O160" s="26"/>
      <c r="P160" s="26"/>
      <c r="Q160" s="26"/>
      <c r="R160" s="27"/>
    </row>
    <row r="161" spans="2:18" ht="16.5" thickBot="1" x14ac:dyDescent="0.3">
      <c r="B161" s="51"/>
      <c r="C161" s="355"/>
      <c r="D161" s="354"/>
      <c r="E161" s="26"/>
      <c r="F161" s="26"/>
      <c r="G161" s="26"/>
      <c r="H161" s="26"/>
      <c r="I161" s="26"/>
      <c r="J161" s="26"/>
      <c r="K161" s="26"/>
      <c r="L161" s="26"/>
      <c r="M161" s="26"/>
      <c r="N161" s="26"/>
      <c r="O161" s="26"/>
      <c r="P161" s="26"/>
      <c r="Q161" s="26"/>
      <c r="R161" s="27"/>
    </row>
    <row r="162" spans="2:18" ht="16.5" thickBot="1" x14ac:dyDescent="0.3">
      <c r="B162" s="51"/>
      <c r="C162" s="374" t="s">
        <v>697</v>
      </c>
      <c r="D162" s="359"/>
      <c r="E162" s="360">
        <f>SUM(D164)</f>
        <v>2000</v>
      </c>
      <c r="F162" s="26"/>
      <c r="G162" s="26"/>
      <c r="H162" s="26"/>
      <c r="I162" s="26"/>
      <c r="J162" s="26"/>
      <c r="K162" s="26"/>
      <c r="L162" s="26"/>
      <c r="M162" s="26"/>
      <c r="N162" s="26"/>
      <c r="O162" s="26"/>
      <c r="P162" s="26"/>
      <c r="Q162" s="26"/>
      <c r="R162" s="27"/>
    </row>
    <row r="163" spans="2:18" ht="16.5" thickBot="1" x14ac:dyDescent="0.3">
      <c r="B163" s="51"/>
      <c r="C163" s="371"/>
      <c r="D163" s="354"/>
      <c r="E163" s="26"/>
      <c r="F163" s="26"/>
      <c r="G163" s="26"/>
      <c r="H163" s="26"/>
      <c r="I163" s="26"/>
      <c r="J163" s="26"/>
      <c r="K163" s="26"/>
      <c r="L163" s="26"/>
      <c r="M163" s="26"/>
      <c r="N163" s="26"/>
      <c r="O163" s="26"/>
      <c r="P163" s="26"/>
      <c r="Q163" s="26"/>
      <c r="R163" s="27"/>
    </row>
    <row r="164" spans="2:18" ht="16.5" thickBot="1" x14ac:dyDescent="0.3">
      <c r="B164" s="51"/>
      <c r="C164" s="368" t="s">
        <v>671</v>
      </c>
      <c r="D164" s="372">
        <v>2000</v>
      </c>
      <c r="E164" s="26"/>
      <c r="F164" s="26"/>
      <c r="G164" s="26"/>
      <c r="H164" s="26"/>
      <c r="I164" s="26"/>
      <c r="J164" s="26"/>
      <c r="K164" s="26"/>
      <c r="L164" s="26"/>
      <c r="M164" s="26"/>
      <c r="N164" s="26"/>
      <c r="O164" s="26"/>
      <c r="P164" s="26"/>
      <c r="Q164" s="26"/>
      <c r="R164" s="27"/>
    </row>
    <row r="165" spans="2:18" ht="16.5" thickBot="1" x14ac:dyDescent="0.3">
      <c r="B165" s="51"/>
      <c r="C165" s="355"/>
      <c r="D165" s="354"/>
      <c r="E165" s="26"/>
      <c r="F165" s="26"/>
      <c r="G165" s="26"/>
      <c r="H165" s="26"/>
      <c r="I165" s="26"/>
      <c r="J165" s="26"/>
      <c r="K165" s="26"/>
      <c r="L165" s="26"/>
      <c r="M165" s="26"/>
      <c r="N165" s="26"/>
      <c r="O165" s="26"/>
      <c r="P165" s="26"/>
      <c r="Q165" s="26"/>
      <c r="R165" s="27"/>
    </row>
    <row r="166" spans="2:18" ht="16.5" thickBot="1" x14ac:dyDescent="0.3">
      <c r="B166" s="51"/>
      <c r="C166" s="374" t="s">
        <v>725</v>
      </c>
      <c r="D166" s="359"/>
      <c r="E166" s="360">
        <f>SUM(D168)</f>
        <v>5305</v>
      </c>
      <c r="F166" s="26"/>
      <c r="G166" s="26"/>
      <c r="H166" s="26"/>
      <c r="I166" s="26"/>
      <c r="J166" s="26"/>
      <c r="K166" s="26"/>
      <c r="L166" s="26"/>
      <c r="M166" s="26"/>
      <c r="N166" s="26"/>
      <c r="O166" s="26"/>
      <c r="P166" s="26"/>
      <c r="Q166" s="26"/>
      <c r="R166" s="27"/>
    </row>
    <row r="167" spans="2:18" ht="16.5" thickBot="1" x14ac:dyDescent="0.3">
      <c r="B167" s="51"/>
      <c r="C167" s="371"/>
      <c r="D167" s="354"/>
      <c r="E167" s="26"/>
      <c r="F167" s="26"/>
      <c r="G167" s="26"/>
      <c r="H167" s="26"/>
      <c r="I167" s="26"/>
      <c r="J167" s="26"/>
      <c r="K167" s="405"/>
      <c r="L167" s="405"/>
      <c r="M167" s="405"/>
      <c r="N167" s="405"/>
      <c r="O167" s="26"/>
      <c r="P167" s="26"/>
      <c r="Q167" s="26"/>
      <c r="R167" s="27"/>
    </row>
    <row r="168" spans="2:18" ht="16.5" thickBot="1" x14ac:dyDescent="0.3">
      <c r="B168" s="51"/>
      <c r="C168" s="332" t="s">
        <v>670</v>
      </c>
      <c r="D168" s="350">
        <f>IF(E105&gt;SUM(D159:D164),ABS(E105-SUM(D159:D164)),"no es necesario préstamo")</f>
        <v>5305</v>
      </c>
      <c r="E168" s="26" t="s">
        <v>836</v>
      </c>
      <c r="F168" s="26"/>
      <c r="G168" s="26"/>
      <c r="H168" s="26"/>
      <c r="I168" s="494">
        <f>I169+I170</f>
        <v>102.56051211361509</v>
      </c>
      <c r="J168" s="26"/>
      <c r="K168" s="26"/>
      <c r="L168" s="26"/>
      <c r="M168" s="26"/>
      <c r="N168" s="26"/>
      <c r="O168" s="26"/>
      <c r="P168" s="26"/>
      <c r="Q168" s="26"/>
      <c r="R168" s="27"/>
    </row>
    <row r="169" spans="2:18" x14ac:dyDescent="0.25">
      <c r="B169" s="51"/>
      <c r="C169" s="205" t="s">
        <v>469</v>
      </c>
      <c r="D169" s="393">
        <v>5</v>
      </c>
      <c r="E169" s="26"/>
      <c r="F169" s="332"/>
      <c r="G169" s="348"/>
      <c r="H169" s="332" t="s">
        <v>746</v>
      </c>
      <c r="I169" s="350">
        <f>IF(D168="",O,IPMT(D170/12,1,D169*12,-D168))</f>
        <v>26.525000000000002</v>
      </c>
      <c r="J169" s="26"/>
      <c r="K169" s="26"/>
      <c r="L169" s="26"/>
      <c r="M169" s="26"/>
      <c r="N169" s="26"/>
      <c r="O169" s="26"/>
      <c r="P169" s="26"/>
      <c r="Q169" s="26"/>
      <c r="R169" s="27"/>
    </row>
    <row r="170" spans="2:18" ht="16.5" thickBot="1" x14ac:dyDescent="0.3">
      <c r="B170" s="51"/>
      <c r="C170" s="207" t="s">
        <v>740</v>
      </c>
      <c r="D170" s="373">
        <v>0.06</v>
      </c>
      <c r="E170" s="26"/>
      <c r="F170" s="207"/>
      <c r="G170" s="349"/>
      <c r="H170" s="207" t="s">
        <v>747</v>
      </c>
      <c r="I170" s="352">
        <f>IF(D168="",O,PPMT(D170/12,1,D169*12,-D168))</f>
        <v>76.035512113615084</v>
      </c>
      <c r="J170" s="26"/>
      <c r="K170" s="26"/>
      <c r="L170" s="26"/>
      <c r="M170" s="26"/>
      <c r="N170" s="26"/>
      <c r="O170" s="26"/>
      <c r="P170" s="26"/>
      <c r="Q170" s="26"/>
      <c r="R170" s="27"/>
    </row>
    <row r="171" spans="2:18" ht="15" x14ac:dyDescent="0.25">
      <c r="B171" s="51"/>
      <c r="C171" s="26"/>
      <c r="D171" s="26"/>
      <c r="E171" s="26"/>
      <c r="F171" s="26"/>
      <c r="G171" s="26"/>
      <c r="H171" s="26"/>
      <c r="I171" s="26"/>
      <c r="J171" s="26"/>
      <c r="K171" s="26"/>
      <c r="L171" s="26"/>
      <c r="M171" s="26"/>
      <c r="N171" s="26"/>
      <c r="O171" s="26"/>
      <c r="P171" s="26"/>
      <c r="Q171" s="26"/>
      <c r="R171" s="27"/>
    </row>
    <row r="172" spans="2:18" thickBot="1" x14ac:dyDescent="0.3">
      <c r="B172" s="33"/>
      <c r="C172" s="30"/>
      <c r="D172" s="30"/>
      <c r="E172" s="30"/>
      <c r="F172" s="30"/>
      <c r="G172" s="30"/>
      <c r="H172" s="30"/>
      <c r="I172" s="30"/>
      <c r="J172" s="30"/>
      <c r="K172" s="30"/>
      <c r="L172" s="30"/>
      <c r="M172" s="30"/>
      <c r="N172" s="30"/>
      <c r="O172" s="30"/>
      <c r="P172" s="30"/>
      <c r="Q172" s="30"/>
      <c r="R172" s="31"/>
    </row>
    <row r="173" spans="2:18" ht="16.5" thickBot="1" x14ac:dyDescent="0.3">
      <c r="D173" s="339"/>
    </row>
    <row r="174" spans="2:18" thickBot="1" x14ac:dyDescent="0.3">
      <c r="B174" s="340"/>
      <c r="C174" s="22"/>
      <c r="D174" s="22"/>
      <c r="E174" s="22"/>
      <c r="F174" s="22"/>
      <c r="G174" s="22"/>
      <c r="H174" s="22"/>
      <c r="I174" s="22"/>
      <c r="J174" s="22"/>
      <c r="K174" s="22"/>
      <c r="L174" s="22"/>
      <c r="M174" s="22"/>
      <c r="N174" s="22"/>
      <c r="O174" s="22"/>
      <c r="P174" s="22"/>
      <c r="Q174" s="22"/>
      <c r="R174" s="23"/>
    </row>
    <row r="175" spans="2:18" ht="19.5" thickBot="1" x14ac:dyDescent="0.35">
      <c r="B175" s="51"/>
      <c r="C175" s="302" t="str">
        <f>Modelo!F17</f>
        <v>Umbral de rentabilidad</v>
      </c>
      <c r="D175" s="26"/>
      <c r="E175" s="26"/>
      <c r="F175" s="26"/>
      <c r="G175" s="26"/>
      <c r="H175" s="26"/>
      <c r="I175" s="26"/>
      <c r="J175" s="26"/>
      <c r="K175" s="26"/>
      <c r="L175" s="26"/>
      <c r="M175" s="26"/>
      <c r="N175" s="26"/>
      <c r="O175" s="26"/>
      <c r="P175" s="26"/>
      <c r="Q175" s="26"/>
      <c r="R175" s="27"/>
    </row>
    <row r="176" spans="2:18" thickBot="1" x14ac:dyDescent="0.3">
      <c r="B176" s="32"/>
      <c r="C176" s="26"/>
      <c r="D176" s="26"/>
      <c r="E176" s="26"/>
      <c r="F176" s="26"/>
      <c r="G176" s="26"/>
      <c r="H176" s="26"/>
      <c r="I176" s="26"/>
      <c r="J176" s="26"/>
      <c r="K176" s="26"/>
      <c r="L176" s="26"/>
      <c r="M176" s="26"/>
      <c r="N176" s="26"/>
      <c r="O176" s="26"/>
      <c r="P176" s="26"/>
      <c r="Q176" s="26"/>
      <c r="R176" s="27"/>
    </row>
    <row r="177" spans="2:18" x14ac:dyDescent="0.25">
      <c r="B177" s="32"/>
      <c r="C177" s="332" t="s">
        <v>700</v>
      </c>
      <c r="D177" s="361">
        <v>60</v>
      </c>
      <c r="E177" s="26"/>
      <c r="F177" s="26"/>
      <c r="G177" s="26"/>
      <c r="H177" s="26"/>
      <c r="I177" s="26"/>
      <c r="J177" s="26"/>
      <c r="K177" s="26"/>
      <c r="L177" s="26"/>
      <c r="M177" s="26"/>
      <c r="N177" s="26"/>
      <c r="O177" s="26"/>
      <c r="P177" s="26"/>
      <c r="Q177" s="26"/>
      <c r="R177" s="27"/>
    </row>
    <row r="178" spans="2:18" x14ac:dyDescent="0.25">
      <c r="B178" s="32"/>
      <c r="C178" s="205" t="s">
        <v>701</v>
      </c>
      <c r="D178" s="362">
        <v>120</v>
      </c>
      <c r="E178" s="26"/>
      <c r="F178" s="26"/>
      <c r="G178" s="26"/>
      <c r="H178" s="26"/>
      <c r="I178" s="26"/>
      <c r="J178" s="26"/>
      <c r="K178" s="26"/>
      <c r="L178" s="26"/>
      <c r="M178" s="26"/>
      <c r="N178" s="26"/>
      <c r="O178" s="26"/>
      <c r="P178" s="26"/>
      <c r="Q178" s="26"/>
      <c r="R178" s="27"/>
    </row>
    <row r="179" spans="2:18" ht="16.5" thickBot="1" x14ac:dyDescent="0.3">
      <c r="B179" s="32"/>
      <c r="C179" s="207" t="s">
        <v>726</v>
      </c>
      <c r="D179" s="352">
        <f>D128+SUM(F132:F136)+SUM(D138:D149)+SUM(I169:I170)</f>
        <v>7327.560512113615</v>
      </c>
      <c r="E179" s="26" t="s">
        <v>727</v>
      </c>
      <c r="F179" s="26"/>
      <c r="G179" s="26"/>
      <c r="H179" s="26"/>
      <c r="I179" s="26"/>
      <c r="J179" s="26"/>
      <c r="K179" s="26"/>
      <c r="L179" s="26"/>
      <c r="M179" s="26"/>
      <c r="N179" s="26"/>
      <c r="O179" s="26"/>
      <c r="P179" s="26"/>
      <c r="Q179" s="26"/>
      <c r="R179" s="27"/>
    </row>
    <row r="180" spans="2:18" thickBot="1" x14ac:dyDescent="0.3">
      <c r="B180" s="32"/>
      <c r="C180" s="26"/>
      <c r="D180" s="26"/>
      <c r="E180" s="26"/>
      <c r="F180" s="26"/>
      <c r="G180" s="26"/>
      <c r="H180" s="26"/>
      <c r="I180" s="26"/>
      <c r="J180" s="26"/>
      <c r="K180" s="26"/>
      <c r="L180" s="26"/>
      <c r="M180" s="26"/>
      <c r="N180" s="26"/>
      <c r="O180" s="26"/>
      <c r="P180" s="26"/>
      <c r="Q180" s="26"/>
      <c r="R180" s="27"/>
    </row>
    <row r="181" spans="2:18" ht="16.5" thickBot="1" x14ac:dyDescent="0.3">
      <c r="B181" s="32"/>
      <c r="C181" s="368" t="s">
        <v>703</v>
      </c>
      <c r="D181" s="375">
        <f>D179/(D178-D177)</f>
        <v>122.12600853522692</v>
      </c>
      <c r="E181" s="26"/>
      <c r="F181" s="26"/>
      <c r="G181" s="26"/>
      <c r="H181" s="376" t="s">
        <v>706</v>
      </c>
      <c r="I181" s="26"/>
      <c r="J181" s="26"/>
      <c r="K181" s="26"/>
      <c r="L181" s="26"/>
      <c r="M181" s="26"/>
      <c r="N181" s="26"/>
      <c r="O181" s="26"/>
      <c r="P181" s="26"/>
      <c r="Q181" s="26"/>
      <c r="R181" s="27"/>
    </row>
    <row r="182" spans="2:18" thickBot="1" x14ac:dyDescent="0.3">
      <c r="B182" s="32"/>
      <c r="C182" s="26"/>
      <c r="D182" s="26"/>
      <c r="E182" s="26"/>
      <c r="F182" s="26"/>
      <c r="G182" s="26"/>
      <c r="H182" s="26"/>
      <c r="I182" s="26"/>
      <c r="J182" s="26"/>
      <c r="K182" s="26"/>
      <c r="L182" s="26"/>
      <c r="M182" s="26"/>
      <c r="N182" s="26"/>
      <c r="O182" s="26"/>
      <c r="P182" s="26"/>
      <c r="Q182" s="26"/>
      <c r="R182" s="27"/>
    </row>
    <row r="183" spans="2:18" thickBot="1" x14ac:dyDescent="0.3">
      <c r="B183" s="32"/>
      <c r="C183" s="26"/>
      <c r="D183" s="26"/>
      <c r="E183" s="26"/>
      <c r="F183" s="26"/>
      <c r="G183" s="26"/>
      <c r="H183" s="382" t="s">
        <v>464</v>
      </c>
      <c r="I183" s="383" t="s">
        <v>704</v>
      </c>
      <c r="J183" s="383" t="s">
        <v>709</v>
      </c>
      <c r="K183" s="383" t="s">
        <v>707</v>
      </c>
      <c r="L183" s="383" t="s">
        <v>708</v>
      </c>
      <c r="M183" s="384" t="s">
        <v>705</v>
      </c>
      <c r="N183" s="26"/>
      <c r="O183" s="26"/>
      <c r="P183" s="26"/>
      <c r="Q183" s="26"/>
      <c r="R183" s="27"/>
    </row>
    <row r="184" spans="2:18" ht="15" x14ac:dyDescent="0.25">
      <c r="B184" s="32"/>
      <c r="C184" s="26"/>
      <c r="D184" s="26"/>
      <c r="E184" s="26"/>
      <c r="F184" s="26"/>
      <c r="G184" s="26"/>
      <c r="H184" s="440">
        <v>25</v>
      </c>
      <c r="I184" s="377">
        <f>H184*$D$178</f>
        <v>3000</v>
      </c>
      <c r="J184" s="377">
        <f>$D$179</f>
        <v>7327.560512113615</v>
      </c>
      <c r="K184" s="377">
        <f>H184*$D$177</f>
        <v>1500</v>
      </c>
      <c r="L184" s="377">
        <f>J184+K184</f>
        <v>8827.5605121136141</v>
      </c>
      <c r="M184" s="378">
        <f>I184-L184</f>
        <v>-5827.5605121136141</v>
      </c>
      <c r="N184" s="26"/>
      <c r="O184" s="26"/>
      <c r="P184" s="26"/>
      <c r="Q184" s="26"/>
      <c r="R184" s="27"/>
    </row>
    <row r="185" spans="2:18" ht="15" x14ac:dyDescent="0.25">
      <c r="B185" s="32"/>
      <c r="C185" s="26"/>
      <c r="D185" s="26"/>
      <c r="E185" s="26"/>
      <c r="F185" s="26"/>
      <c r="G185" s="26"/>
      <c r="H185" s="441">
        <f t="shared" ref="H185:H197" si="0">H184+25</f>
        <v>50</v>
      </c>
      <c r="I185" s="255">
        <f t="shared" ref="I185:I197" si="1">H185*$D$178</f>
        <v>6000</v>
      </c>
      <c r="J185" s="255">
        <f t="shared" ref="J185:J197" si="2">$D$179</f>
        <v>7327.560512113615</v>
      </c>
      <c r="K185" s="255">
        <f t="shared" ref="K185:K197" si="3">H185*$D$177</f>
        <v>3000</v>
      </c>
      <c r="L185" s="255">
        <f t="shared" ref="L185:L197" si="4">J185+K185</f>
        <v>10327.560512113614</v>
      </c>
      <c r="M185" s="379">
        <f t="shared" ref="M185:M197" si="5">I185-L185</f>
        <v>-4327.5605121136141</v>
      </c>
      <c r="N185" s="26"/>
      <c r="O185" s="26"/>
      <c r="P185" s="26"/>
      <c r="Q185" s="26"/>
      <c r="R185" s="27"/>
    </row>
    <row r="186" spans="2:18" ht="15" x14ac:dyDescent="0.25">
      <c r="B186" s="32"/>
      <c r="C186" s="26"/>
      <c r="D186" s="26"/>
      <c r="E186" s="26"/>
      <c r="F186" s="26"/>
      <c r="G186" s="26"/>
      <c r="H186" s="441">
        <f t="shared" si="0"/>
        <v>75</v>
      </c>
      <c r="I186" s="255">
        <f t="shared" si="1"/>
        <v>9000</v>
      </c>
      <c r="J186" s="255">
        <f t="shared" si="2"/>
        <v>7327.560512113615</v>
      </c>
      <c r="K186" s="255">
        <f t="shared" si="3"/>
        <v>4500</v>
      </c>
      <c r="L186" s="255">
        <f t="shared" si="4"/>
        <v>11827.560512113614</v>
      </c>
      <c r="M186" s="379">
        <f t="shared" si="5"/>
        <v>-2827.5605121136141</v>
      </c>
      <c r="N186" s="26"/>
      <c r="O186" s="26"/>
      <c r="P186" s="26"/>
      <c r="Q186" s="26"/>
      <c r="R186" s="27"/>
    </row>
    <row r="187" spans="2:18" ht="15" x14ac:dyDescent="0.25">
      <c r="B187" s="32"/>
      <c r="C187" s="26"/>
      <c r="D187" s="26"/>
      <c r="E187" s="26"/>
      <c r="F187" s="26"/>
      <c r="G187" s="26"/>
      <c r="H187" s="441">
        <f t="shared" si="0"/>
        <v>100</v>
      </c>
      <c r="I187" s="255">
        <f t="shared" si="1"/>
        <v>12000</v>
      </c>
      <c r="J187" s="255">
        <f t="shared" si="2"/>
        <v>7327.560512113615</v>
      </c>
      <c r="K187" s="255">
        <f t="shared" si="3"/>
        <v>6000</v>
      </c>
      <c r="L187" s="255">
        <f t="shared" si="4"/>
        <v>13327.560512113614</v>
      </c>
      <c r="M187" s="379">
        <f t="shared" si="5"/>
        <v>-1327.5605121136141</v>
      </c>
      <c r="N187" s="26"/>
      <c r="O187" s="26"/>
      <c r="P187" s="26"/>
      <c r="Q187" s="26"/>
      <c r="R187" s="27"/>
    </row>
    <row r="188" spans="2:18" ht="15" x14ac:dyDescent="0.25">
      <c r="B188" s="32"/>
      <c r="C188" s="26"/>
      <c r="D188" s="26"/>
      <c r="E188" s="26"/>
      <c r="F188" s="26"/>
      <c r="G188" s="26"/>
      <c r="H188" s="441">
        <f t="shared" si="0"/>
        <v>125</v>
      </c>
      <c r="I188" s="255">
        <f t="shared" si="1"/>
        <v>15000</v>
      </c>
      <c r="J188" s="255">
        <f t="shared" si="2"/>
        <v>7327.560512113615</v>
      </c>
      <c r="K188" s="255">
        <f t="shared" si="3"/>
        <v>7500</v>
      </c>
      <c r="L188" s="255">
        <f t="shared" si="4"/>
        <v>14827.560512113614</v>
      </c>
      <c r="M188" s="379">
        <f t="shared" si="5"/>
        <v>172.4394878863859</v>
      </c>
      <c r="N188" s="26"/>
      <c r="O188" s="26"/>
      <c r="P188" s="26"/>
      <c r="Q188" s="26"/>
      <c r="R188" s="27"/>
    </row>
    <row r="189" spans="2:18" ht="15" x14ac:dyDescent="0.25">
      <c r="B189" s="32"/>
      <c r="C189" s="26"/>
      <c r="D189" s="26"/>
      <c r="E189" s="26"/>
      <c r="F189" s="26"/>
      <c r="G189" s="26"/>
      <c r="H189" s="441">
        <f t="shared" si="0"/>
        <v>150</v>
      </c>
      <c r="I189" s="255">
        <f t="shared" si="1"/>
        <v>18000</v>
      </c>
      <c r="J189" s="255">
        <f t="shared" si="2"/>
        <v>7327.560512113615</v>
      </c>
      <c r="K189" s="255">
        <f t="shared" si="3"/>
        <v>9000</v>
      </c>
      <c r="L189" s="255">
        <f t="shared" si="4"/>
        <v>16327.560512113614</v>
      </c>
      <c r="M189" s="379">
        <f t="shared" si="5"/>
        <v>1672.4394878863859</v>
      </c>
      <c r="N189" s="26"/>
      <c r="O189" s="26"/>
      <c r="P189" s="26"/>
      <c r="Q189" s="26"/>
      <c r="R189" s="27"/>
    </row>
    <row r="190" spans="2:18" ht="15" x14ac:dyDescent="0.25">
      <c r="B190" s="32"/>
      <c r="C190" s="26"/>
      <c r="D190" s="26"/>
      <c r="E190" s="26"/>
      <c r="F190" s="26"/>
      <c r="G190" s="26"/>
      <c r="H190" s="441">
        <f t="shared" si="0"/>
        <v>175</v>
      </c>
      <c r="I190" s="255">
        <f t="shared" si="1"/>
        <v>21000</v>
      </c>
      <c r="J190" s="255">
        <f t="shared" si="2"/>
        <v>7327.560512113615</v>
      </c>
      <c r="K190" s="255">
        <f t="shared" si="3"/>
        <v>10500</v>
      </c>
      <c r="L190" s="255">
        <f t="shared" si="4"/>
        <v>17827.560512113614</v>
      </c>
      <c r="M190" s="379">
        <f t="shared" si="5"/>
        <v>3172.4394878863859</v>
      </c>
      <c r="N190" s="26"/>
      <c r="O190" s="26"/>
      <c r="P190" s="26"/>
      <c r="Q190" s="26"/>
      <c r="R190" s="27"/>
    </row>
    <row r="191" spans="2:18" ht="15" x14ac:dyDescent="0.25">
      <c r="B191" s="32"/>
      <c r="C191" s="26"/>
      <c r="D191" s="26"/>
      <c r="E191" s="26"/>
      <c r="F191" s="26"/>
      <c r="G191" s="26"/>
      <c r="H191" s="441">
        <f t="shared" si="0"/>
        <v>200</v>
      </c>
      <c r="I191" s="255">
        <f t="shared" si="1"/>
        <v>24000</v>
      </c>
      <c r="J191" s="255">
        <f t="shared" si="2"/>
        <v>7327.560512113615</v>
      </c>
      <c r="K191" s="255">
        <f t="shared" si="3"/>
        <v>12000</v>
      </c>
      <c r="L191" s="255">
        <f t="shared" si="4"/>
        <v>19327.560512113614</v>
      </c>
      <c r="M191" s="379">
        <f t="shared" si="5"/>
        <v>4672.4394878863859</v>
      </c>
      <c r="N191" s="26"/>
      <c r="O191" s="26"/>
      <c r="P191" s="26"/>
      <c r="Q191" s="26"/>
      <c r="R191" s="27"/>
    </row>
    <row r="192" spans="2:18" ht="15" x14ac:dyDescent="0.25">
      <c r="B192" s="32"/>
      <c r="C192" s="26"/>
      <c r="D192" s="26"/>
      <c r="E192" s="26"/>
      <c r="F192" s="26"/>
      <c r="G192" s="26"/>
      <c r="H192" s="441">
        <f t="shared" si="0"/>
        <v>225</v>
      </c>
      <c r="I192" s="255">
        <f t="shared" si="1"/>
        <v>27000</v>
      </c>
      <c r="J192" s="255">
        <f t="shared" si="2"/>
        <v>7327.560512113615</v>
      </c>
      <c r="K192" s="255">
        <f t="shared" si="3"/>
        <v>13500</v>
      </c>
      <c r="L192" s="255">
        <f t="shared" si="4"/>
        <v>20827.560512113614</v>
      </c>
      <c r="M192" s="379">
        <f t="shared" si="5"/>
        <v>6172.4394878863859</v>
      </c>
      <c r="N192" s="26"/>
      <c r="O192" s="26"/>
      <c r="P192" s="26"/>
      <c r="Q192" s="26"/>
      <c r="R192" s="27"/>
    </row>
    <row r="193" spans="2:18" ht="15" x14ac:dyDescent="0.25">
      <c r="B193" s="32"/>
      <c r="C193" s="26"/>
      <c r="D193" s="26"/>
      <c r="E193" s="26"/>
      <c r="F193" s="26"/>
      <c r="G193" s="26"/>
      <c r="H193" s="441">
        <f t="shared" si="0"/>
        <v>250</v>
      </c>
      <c r="I193" s="255">
        <f t="shared" si="1"/>
        <v>30000</v>
      </c>
      <c r="J193" s="255">
        <f t="shared" si="2"/>
        <v>7327.560512113615</v>
      </c>
      <c r="K193" s="255">
        <f t="shared" si="3"/>
        <v>15000</v>
      </c>
      <c r="L193" s="255">
        <f t="shared" si="4"/>
        <v>22327.560512113614</v>
      </c>
      <c r="M193" s="379">
        <f t="shared" si="5"/>
        <v>7672.4394878863859</v>
      </c>
      <c r="N193" s="26"/>
      <c r="O193" s="26"/>
      <c r="P193" s="26"/>
      <c r="Q193" s="26"/>
      <c r="R193" s="27"/>
    </row>
    <row r="194" spans="2:18" ht="15" x14ac:dyDescent="0.25">
      <c r="B194" s="32"/>
      <c r="C194" s="26"/>
      <c r="D194" s="26"/>
      <c r="E194" s="26"/>
      <c r="F194" s="26"/>
      <c r="G194" s="26"/>
      <c r="H194" s="441">
        <f t="shared" si="0"/>
        <v>275</v>
      </c>
      <c r="I194" s="255">
        <f t="shared" si="1"/>
        <v>33000</v>
      </c>
      <c r="J194" s="255">
        <f t="shared" si="2"/>
        <v>7327.560512113615</v>
      </c>
      <c r="K194" s="255">
        <f t="shared" si="3"/>
        <v>16500</v>
      </c>
      <c r="L194" s="255">
        <f t="shared" si="4"/>
        <v>23827.560512113614</v>
      </c>
      <c r="M194" s="379">
        <f t="shared" si="5"/>
        <v>9172.4394878863859</v>
      </c>
      <c r="N194" s="26"/>
      <c r="O194" s="26"/>
      <c r="P194" s="26"/>
      <c r="Q194" s="26"/>
      <c r="R194" s="27"/>
    </row>
    <row r="195" spans="2:18" ht="15" x14ac:dyDescent="0.25">
      <c r="B195" s="32"/>
      <c r="C195" s="26"/>
      <c r="D195" s="26"/>
      <c r="E195" s="26"/>
      <c r="F195" s="26"/>
      <c r="G195" s="26"/>
      <c r="H195" s="441">
        <f t="shared" si="0"/>
        <v>300</v>
      </c>
      <c r="I195" s="255">
        <f t="shared" si="1"/>
        <v>36000</v>
      </c>
      <c r="J195" s="255">
        <f t="shared" si="2"/>
        <v>7327.560512113615</v>
      </c>
      <c r="K195" s="255">
        <f t="shared" si="3"/>
        <v>18000</v>
      </c>
      <c r="L195" s="255">
        <f t="shared" si="4"/>
        <v>25327.560512113614</v>
      </c>
      <c r="M195" s="379">
        <f t="shared" si="5"/>
        <v>10672.439487886386</v>
      </c>
      <c r="N195" s="26"/>
      <c r="O195" s="26"/>
      <c r="P195" s="26"/>
      <c r="Q195" s="26"/>
      <c r="R195" s="27"/>
    </row>
    <row r="196" spans="2:18" ht="15" x14ac:dyDescent="0.25">
      <c r="B196" s="32"/>
      <c r="C196" s="26"/>
      <c r="D196" s="26"/>
      <c r="E196" s="26"/>
      <c r="F196" s="26"/>
      <c r="G196" s="26"/>
      <c r="H196" s="441">
        <f t="shared" si="0"/>
        <v>325</v>
      </c>
      <c r="I196" s="255">
        <f t="shared" si="1"/>
        <v>39000</v>
      </c>
      <c r="J196" s="255">
        <f t="shared" si="2"/>
        <v>7327.560512113615</v>
      </c>
      <c r="K196" s="255">
        <f t="shared" si="3"/>
        <v>19500</v>
      </c>
      <c r="L196" s="255">
        <f t="shared" si="4"/>
        <v>26827.560512113614</v>
      </c>
      <c r="M196" s="379">
        <f t="shared" si="5"/>
        <v>12172.439487886386</v>
      </c>
      <c r="N196" s="26"/>
      <c r="O196" s="26"/>
      <c r="P196" s="26"/>
      <c r="Q196" s="26"/>
      <c r="R196" s="27"/>
    </row>
    <row r="197" spans="2:18" thickBot="1" x14ac:dyDescent="0.3">
      <c r="B197" s="32"/>
      <c r="C197" s="26"/>
      <c r="D197" s="26"/>
      <c r="E197" s="26"/>
      <c r="F197" s="26"/>
      <c r="G197" s="26"/>
      <c r="H197" s="442">
        <f t="shared" si="0"/>
        <v>350</v>
      </c>
      <c r="I197" s="380">
        <f t="shared" si="1"/>
        <v>42000</v>
      </c>
      <c r="J197" s="380">
        <f t="shared" si="2"/>
        <v>7327.560512113615</v>
      </c>
      <c r="K197" s="380">
        <f t="shared" si="3"/>
        <v>21000</v>
      </c>
      <c r="L197" s="380">
        <f t="shared" si="4"/>
        <v>28327.560512113614</v>
      </c>
      <c r="M197" s="381">
        <f t="shared" si="5"/>
        <v>13672.439487886386</v>
      </c>
      <c r="N197" s="26"/>
      <c r="O197" s="26"/>
      <c r="P197" s="26"/>
      <c r="Q197" s="26"/>
      <c r="R197" s="27"/>
    </row>
    <row r="198" spans="2:18" ht="15" x14ac:dyDescent="0.25">
      <c r="B198" s="32"/>
      <c r="C198" s="26"/>
      <c r="D198" s="26"/>
      <c r="E198" s="26"/>
      <c r="F198" s="26"/>
      <c r="G198" s="26"/>
      <c r="H198" s="26"/>
      <c r="I198" s="26"/>
      <c r="J198" s="26"/>
      <c r="K198" s="26"/>
      <c r="L198" s="26"/>
      <c r="M198" s="26"/>
      <c r="N198" s="26"/>
      <c r="O198" s="26"/>
      <c r="P198" s="26"/>
      <c r="Q198" s="26"/>
      <c r="R198" s="27"/>
    </row>
    <row r="199" spans="2:18" ht="16.5" thickBot="1" x14ac:dyDescent="0.3">
      <c r="B199" s="33"/>
      <c r="C199" s="356"/>
      <c r="D199" s="357"/>
      <c r="E199" s="30"/>
      <c r="F199" s="30"/>
      <c r="G199" s="30"/>
      <c r="H199" s="30"/>
      <c r="I199" s="30"/>
      <c r="J199" s="30"/>
      <c r="K199" s="30"/>
      <c r="L199" s="30"/>
      <c r="M199" s="30"/>
      <c r="N199" s="30"/>
      <c r="O199" s="30"/>
      <c r="P199" s="30"/>
      <c r="Q199" s="30"/>
      <c r="R199" s="31"/>
    </row>
    <row r="200" spans="2:18" ht="16.5" thickBot="1" x14ac:dyDescent="0.3">
      <c r="D200" s="339"/>
    </row>
    <row r="201" spans="2:18" ht="16.5" thickBot="1" x14ac:dyDescent="0.3">
      <c r="B201" s="358"/>
      <c r="C201" s="247"/>
      <c r="D201" s="246"/>
      <c r="E201" s="22"/>
      <c r="F201" s="22"/>
      <c r="G201" s="22"/>
      <c r="H201" s="22"/>
      <c r="I201" s="22"/>
      <c r="J201" s="22"/>
      <c r="K201" s="22"/>
      <c r="L201" s="22"/>
      <c r="M201" s="22"/>
      <c r="N201" s="22"/>
      <c r="O201" s="22"/>
      <c r="P201" s="22"/>
      <c r="Q201" s="22"/>
      <c r="R201" s="23"/>
    </row>
    <row r="202" spans="2:18" ht="19.5" thickBot="1" x14ac:dyDescent="0.35">
      <c r="B202" s="32"/>
      <c r="C202" s="302" t="str">
        <f>Modelo!F19</f>
        <v>Presupuesto de tesorería</v>
      </c>
      <c r="D202" s="25"/>
      <c r="E202" s="26"/>
      <c r="F202" s="26"/>
      <c r="G202" s="26"/>
      <c r="H202" s="26"/>
      <c r="I202" s="26"/>
      <c r="J202" s="26"/>
      <c r="K202" s="26"/>
      <c r="L202" s="26"/>
      <c r="M202" s="26"/>
      <c r="N202" s="26"/>
      <c r="O202" s="26"/>
      <c r="P202" s="26"/>
      <c r="Q202" s="26"/>
      <c r="R202" s="27"/>
    </row>
    <row r="203" spans="2:18" x14ac:dyDescent="0.25">
      <c r="B203" s="32"/>
      <c r="C203" s="24"/>
      <c r="D203" s="25"/>
      <c r="E203" s="26"/>
      <c r="F203" s="26"/>
      <c r="G203" s="26"/>
      <c r="H203" s="26"/>
      <c r="I203" s="26"/>
      <c r="J203" s="26"/>
      <c r="K203" s="26"/>
      <c r="L203" s="26"/>
      <c r="M203" s="26"/>
      <c r="N203" s="26"/>
      <c r="O203" s="26"/>
      <c r="P203" s="26"/>
      <c r="Q203" s="26"/>
      <c r="R203" s="27"/>
    </row>
    <row r="204" spans="2:18" x14ac:dyDescent="0.25">
      <c r="B204" s="32"/>
      <c r="C204" s="24"/>
      <c r="D204" s="25"/>
      <c r="E204" s="26"/>
      <c r="F204" s="26"/>
      <c r="G204" s="26"/>
      <c r="H204" s="26"/>
      <c r="I204" s="26"/>
      <c r="J204" s="26"/>
      <c r="K204" s="26"/>
      <c r="L204" s="26"/>
      <c r="M204" s="26"/>
      <c r="N204" s="26"/>
      <c r="O204" s="26"/>
      <c r="P204" s="26"/>
      <c r="Q204" s="26"/>
      <c r="R204" s="27"/>
    </row>
    <row r="205" spans="2:18" x14ac:dyDescent="0.25">
      <c r="B205" s="32"/>
      <c r="C205" s="24"/>
      <c r="D205" s="25"/>
      <c r="E205" s="26"/>
      <c r="F205" s="26"/>
      <c r="G205" s="26"/>
      <c r="H205" s="26"/>
      <c r="I205" s="26"/>
      <c r="J205" s="26"/>
      <c r="K205" s="26"/>
      <c r="L205" s="26"/>
      <c r="M205" s="26"/>
      <c r="N205" s="26"/>
      <c r="O205" s="26"/>
      <c r="P205" s="26"/>
      <c r="Q205" s="26"/>
      <c r="R205" s="27"/>
    </row>
    <row r="206" spans="2:18" x14ac:dyDescent="0.25">
      <c r="B206" s="32"/>
      <c r="C206" s="24"/>
      <c r="D206" s="25"/>
      <c r="E206" s="26"/>
      <c r="F206" s="26"/>
      <c r="G206" s="26"/>
      <c r="H206" s="26"/>
      <c r="I206" s="26"/>
      <c r="J206" s="26"/>
      <c r="K206" s="26"/>
      <c r="L206" s="26"/>
      <c r="M206" s="26"/>
      <c r="N206" s="26"/>
      <c r="O206" s="26"/>
      <c r="P206" s="26"/>
      <c r="Q206" s="26"/>
      <c r="R206" s="27"/>
    </row>
    <row r="207" spans="2:18" x14ac:dyDescent="0.25">
      <c r="B207" s="32"/>
      <c r="C207" s="24"/>
      <c r="D207" s="25"/>
      <c r="E207" s="26"/>
      <c r="F207" s="26"/>
      <c r="G207" s="26"/>
      <c r="H207" s="26"/>
      <c r="I207" s="26"/>
      <c r="J207" s="26"/>
      <c r="K207" s="26"/>
      <c r="L207" s="26"/>
      <c r="M207" s="26"/>
      <c r="N207" s="26"/>
      <c r="O207" s="26"/>
      <c r="P207" s="26"/>
      <c r="Q207" s="26"/>
      <c r="R207" s="27"/>
    </row>
    <row r="208" spans="2:18" x14ac:dyDescent="0.25">
      <c r="B208" s="32"/>
      <c r="C208" s="24"/>
      <c r="D208" s="25"/>
      <c r="E208" s="26"/>
      <c r="F208" s="26"/>
      <c r="G208" s="26"/>
      <c r="H208" s="26"/>
      <c r="I208" s="26"/>
      <c r="J208" s="26"/>
      <c r="K208" s="26"/>
      <c r="L208" s="26"/>
      <c r="M208" s="26"/>
      <c r="N208" s="26"/>
      <c r="O208" s="26"/>
      <c r="P208" s="26"/>
      <c r="Q208" s="26"/>
      <c r="R208" s="27"/>
    </row>
    <row r="209" spans="2:32" ht="16.5" thickBot="1" x14ac:dyDescent="0.3">
      <c r="B209" s="32"/>
      <c r="C209" s="24"/>
      <c r="D209" s="25"/>
      <c r="E209" s="26"/>
      <c r="F209" s="26"/>
      <c r="G209" s="26"/>
      <c r="H209" s="26"/>
      <c r="I209" s="26"/>
      <c r="J209" s="26"/>
      <c r="K209" s="26"/>
      <c r="L209" s="26"/>
      <c r="M209" s="26"/>
      <c r="N209" s="26"/>
      <c r="O209" s="26"/>
      <c r="P209" s="26"/>
      <c r="Q209" s="26"/>
      <c r="R209" s="27"/>
    </row>
    <row r="210" spans="2:32" ht="16.5" thickBot="1" x14ac:dyDescent="0.3">
      <c r="B210" s="32"/>
      <c r="C210" s="368" t="s">
        <v>777</v>
      </c>
      <c r="D210" s="394">
        <v>150</v>
      </c>
      <c r="E210" s="26"/>
      <c r="F210" s="26"/>
      <c r="G210" s="26"/>
      <c r="H210" s="26"/>
      <c r="I210" s="26"/>
      <c r="J210" s="26"/>
      <c r="K210" s="26"/>
      <c r="L210" s="26"/>
      <c r="M210" s="26"/>
      <c r="N210" s="26"/>
      <c r="O210" s="26"/>
      <c r="P210" s="26"/>
      <c r="Q210" s="26"/>
      <c r="R210" s="27"/>
    </row>
    <row r="211" spans="2:32" ht="15" x14ac:dyDescent="0.25">
      <c r="B211" s="51"/>
      <c r="C211" s="26"/>
      <c r="D211" s="26"/>
      <c r="E211" s="26"/>
      <c r="F211" s="26"/>
      <c r="G211" s="26"/>
      <c r="H211" s="26"/>
      <c r="I211" s="26"/>
      <c r="J211" s="26"/>
      <c r="K211" s="26"/>
      <c r="L211" s="26"/>
      <c r="M211" s="26"/>
      <c r="N211" s="26"/>
      <c r="O211" s="26"/>
      <c r="P211" s="26"/>
      <c r="Q211" s="26"/>
      <c r="R211" s="27"/>
      <c r="U211" s="131" t="s">
        <v>880</v>
      </c>
    </row>
    <row r="212" spans="2:32" ht="16.5" thickBot="1" x14ac:dyDescent="0.3">
      <c r="B212" s="32"/>
      <c r="C212" s="24"/>
      <c r="D212" s="25"/>
      <c r="E212" s="26"/>
      <c r="F212" s="26"/>
      <c r="G212" s="26"/>
      <c r="H212" s="26"/>
      <c r="I212" s="26"/>
      <c r="J212" s="26"/>
      <c r="K212" s="26"/>
      <c r="L212" s="26"/>
      <c r="M212" s="26"/>
      <c r="N212" s="26"/>
      <c r="O212" s="26"/>
      <c r="P212" s="26"/>
      <c r="Q212" s="26"/>
      <c r="R212" s="27"/>
    </row>
    <row r="213" spans="2:32" ht="19.5" thickBot="1" x14ac:dyDescent="0.35">
      <c r="B213" s="32"/>
      <c r="C213" s="202" t="s">
        <v>455</v>
      </c>
      <c r="D213" s="203" t="s">
        <v>530</v>
      </c>
      <c r="E213" s="203" t="s">
        <v>531</v>
      </c>
      <c r="F213" s="203" t="s">
        <v>532</v>
      </c>
      <c r="G213" s="203" t="s">
        <v>533</v>
      </c>
      <c r="H213" s="203" t="s">
        <v>534</v>
      </c>
      <c r="I213" s="203" t="s">
        <v>535</v>
      </c>
      <c r="J213" s="203" t="s">
        <v>536</v>
      </c>
      <c r="K213" s="203" t="s">
        <v>537</v>
      </c>
      <c r="L213" s="203" t="s">
        <v>538</v>
      </c>
      <c r="M213" s="203" t="s">
        <v>539</v>
      </c>
      <c r="N213" s="203" t="s">
        <v>540</v>
      </c>
      <c r="O213" s="203" t="s">
        <v>541</v>
      </c>
      <c r="P213" s="204" t="s">
        <v>268</v>
      </c>
      <c r="Q213" s="26"/>
      <c r="R213" s="27"/>
      <c r="U213" s="554">
        <v>13</v>
      </c>
      <c r="V213" s="554">
        <v>14</v>
      </c>
      <c r="W213" s="554">
        <v>15</v>
      </c>
      <c r="X213" s="554">
        <v>16</v>
      </c>
      <c r="Y213" s="554">
        <v>17</v>
      </c>
      <c r="Z213" s="554">
        <v>18</v>
      </c>
      <c r="AA213" s="554">
        <v>19</v>
      </c>
      <c r="AB213" s="554">
        <v>20</v>
      </c>
      <c r="AC213" s="554">
        <v>21</v>
      </c>
      <c r="AD213" s="554">
        <v>22</v>
      </c>
      <c r="AE213" s="554">
        <v>23</v>
      </c>
      <c r="AF213" s="554">
        <v>24</v>
      </c>
    </row>
    <row r="214" spans="2:32" x14ac:dyDescent="0.25">
      <c r="B214" s="32"/>
      <c r="C214" s="222" t="s">
        <v>542</v>
      </c>
      <c r="D214" s="406">
        <f t="shared" ref="D214:O214" si="6">SUM(D215:D218)</f>
        <v>35305</v>
      </c>
      <c r="E214" s="406">
        <f t="shared" si="6"/>
        <v>18000</v>
      </c>
      <c r="F214" s="406">
        <f t="shared" si="6"/>
        <v>18000</v>
      </c>
      <c r="G214" s="406">
        <f t="shared" si="6"/>
        <v>18000</v>
      </c>
      <c r="H214" s="406">
        <f t="shared" si="6"/>
        <v>18000</v>
      </c>
      <c r="I214" s="406">
        <f t="shared" si="6"/>
        <v>18000</v>
      </c>
      <c r="J214" s="406">
        <f t="shared" si="6"/>
        <v>18000</v>
      </c>
      <c r="K214" s="406">
        <f t="shared" si="6"/>
        <v>18000</v>
      </c>
      <c r="L214" s="406">
        <f t="shared" si="6"/>
        <v>18000</v>
      </c>
      <c r="M214" s="406">
        <f t="shared" si="6"/>
        <v>18000</v>
      </c>
      <c r="N214" s="406">
        <f t="shared" si="6"/>
        <v>18000</v>
      </c>
      <c r="O214" s="406">
        <f t="shared" si="6"/>
        <v>18000</v>
      </c>
      <c r="P214" s="206"/>
      <c r="Q214" s="26"/>
      <c r="R214" s="27"/>
      <c r="T214" s="131" t="s">
        <v>882</v>
      </c>
      <c r="U214" s="498">
        <f>IF(D168="",O,IPMT(D170/12,13,D169*12,-D168))</f>
        <v>21.835295988835568</v>
      </c>
      <c r="V214" s="499">
        <f>IF(D168="",O,IPMT(D170/12,14,D169*12,-D168))</f>
        <v>21.431669908211671</v>
      </c>
      <c r="W214" s="499">
        <f>IF(D168="",O,IPMT(D170/12,15,D169*12,-D168))</f>
        <v>21.02602569718465</v>
      </c>
      <c r="X214" s="499">
        <f>IF(D168="",O,IPMT(D170/12,16,D169*12,-D168))</f>
        <v>20.618353265102503</v>
      </c>
      <c r="Y214" s="499">
        <f>IF(D168="",O,IPMT(D170/12,17,D169*12,-D168))</f>
        <v>20.208642470859939</v>
      </c>
      <c r="Z214" s="499">
        <f>IF(D168="",O,IPMT(D170/12,18,D169*12,-D168))</f>
        <v>19.796883122646165</v>
      </c>
      <c r="AA214" s="499">
        <f>IF(D168="",O,IPMT(D170/12,19,D169*12,-D168))</f>
        <v>19.383064977691319</v>
      </c>
      <c r="AB214" s="499">
        <f>IF(D168="",O,IPMT(D170/12,20,D169*12,-D168))</f>
        <v>18.9671777420117</v>
      </c>
      <c r="AC214" s="499">
        <f>IF(D168="",O,IPMT(D170/12,21,D169*12,-D168))</f>
        <v>18.549211070153678</v>
      </c>
      <c r="AD214" s="499">
        <f>IF(D168="",O,IPMT(D170/12,22,D169*12,-D168))</f>
        <v>18.129154564936375</v>
      </c>
      <c r="AE214" s="499">
        <f>IF(D168="",O,IPMT(D170/12,23,D169*12,-D168))</f>
        <v>17.706997777192981</v>
      </c>
      <c r="AF214" s="499">
        <f>IF(D168="",O,IPMT(D170/12,24,D169*12,-D168))</f>
        <v>17.28273020551087</v>
      </c>
    </row>
    <row r="215" spans="2:32" ht="16.5" thickBot="1" x14ac:dyDescent="0.3">
      <c r="B215" s="32"/>
      <c r="C215" s="205" t="s">
        <v>559</v>
      </c>
      <c r="D215" s="407">
        <f>D210*D178</f>
        <v>18000</v>
      </c>
      <c r="E215" s="407">
        <f>D215</f>
        <v>18000</v>
      </c>
      <c r="F215" s="407">
        <f t="shared" ref="F215:O215" si="7">E215</f>
        <v>18000</v>
      </c>
      <c r="G215" s="407">
        <f t="shared" si="7"/>
        <v>18000</v>
      </c>
      <c r="H215" s="407">
        <f t="shared" si="7"/>
        <v>18000</v>
      </c>
      <c r="I215" s="407">
        <f t="shared" si="7"/>
        <v>18000</v>
      </c>
      <c r="J215" s="407">
        <f t="shared" si="7"/>
        <v>18000</v>
      </c>
      <c r="K215" s="407">
        <f t="shared" si="7"/>
        <v>18000</v>
      </c>
      <c r="L215" s="407">
        <f t="shared" si="7"/>
        <v>18000</v>
      </c>
      <c r="M215" s="407">
        <f t="shared" si="7"/>
        <v>18000</v>
      </c>
      <c r="N215" s="407">
        <f t="shared" si="7"/>
        <v>18000</v>
      </c>
      <c r="O215" s="407">
        <f t="shared" si="7"/>
        <v>18000</v>
      </c>
      <c r="P215" s="206"/>
      <c r="Q215" s="26"/>
      <c r="R215" s="27"/>
      <c r="T215" s="131" t="s">
        <v>881</v>
      </c>
      <c r="U215" s="500">
        <f>IF(D168="",O,PPMT(D170/12,13,D169*12,-D168))</f>
        <v>80.725216124779521</v>
      </c>
      <c r="V215" s="501">
        <f>IF(D168="",O,PPMT(D170/12,14,D169*12,-D168))</f>
        <v>81.128842205403416</v>
      </c>
      <c r="W215" s="501">
        <f>IF(D168="",O,PPMT(D170/12,15,D169*12,-D168))</f>
        <v>81.534486416430425</v>
      </c>
      <c r="X215" s="501">
        <f>IF(D168="",O,PPMT(D170/12,16,D169*12,-D168))</f>
        <v>81.942158848512577</v>
      </c>
      <c r="Y215" s="501">
        <f>IF(D168="",O,PPMT(D170/12,17,D169*12,-D168))</f>
        <v>82.351869642755133</v>
      </c>
      <c r="Z215" s="501">
        <f>IF(D168="",O,PPMT(D170/12,18,D169*12,-D168))</f>
        <v>82.763628990968925</v>
      </c>
      <c r="AA215" s="501">
        <f>IF(D168="",O,PPMT(D170/12,19,D169*12,-D168))</f>
        <v>83.177447135923757</v>
      </c>
      <c r="AB215" s="501">
        <f>IF(D168="",O,PPMT(D170/12,20,D169*12,-D168))</f>
        <v>83.593334371603376</v>
      </c>
      <c r="AC215" s="501">
        <f>IF(D168="",O,PPMT(D170/12,21,D169*12,-D168))</f>
        <v>84.011301043461387</v>
      </c>
      <c r="AD215" s="501">
        <f>IF(D168="",O,PPMT(D170/12,22,D169*12,-D168))</f>
        <v>84.431357548678704</v>
      </c>
      <c r="AE215" s="501">
        <f>IF(D168="",O,PPMT(D170/12,23,D169*12,-D168))</f>
        <v>84.853514336422108</v>
      </c>
      <c r="AF215" s="501">
        <f>IF(D168="",O,PPMT(D170/12,24,D169*12,-D168))</f>
        <v>85.277781908104203</v>
      </c>
    </row>
    <row r="216" spans="2:32" x14ac:dyDescent="0.25">
      <c r="B216" s="32"/>
      <c r="C216" s="205" t="s">
        <v>546</v>
      </c>
      <c r="D216" s="407">
        <f>D164</f>
        <v>2000</v>
      </c>
      <c r="E216" s="407"/>
      <c r="F216" s="407"/>
      <c r="G216" s="407"/>
      <c r="H216" s="407"/>
      <c r="I216" s="407"/>
      <c r="J216" s="407"/>
      <c r="K216" s="407"/>
      <c r="L216" s="407"/>
      <c r="M216" s="407"/>
      <c r="N216" s="407"/>
      <c r="O216" s="407"/>
      <c r="P216" s="206"/>
      <c r="Q216" s="26"/>
      <c r="R216" s="27"/>
      <c r="U216" s="554"/>
      <c r="V216" s="554"/>
      <c r="W216" s="554"/>
      <c r="X216" s="554"/>
      <c r="Y216" s="554"/>
      <c r="Z216" s="554"/>
      <c r="AA216" s="554"/>
      <c r="AB216" s="554"/>
      <c r="AC216" s="554"/>
      <c r="AD216" s="554"/>
      <c r="AE216" s="554"/>
      <c r="AF216" s="554"/>
    </row>
    <row r="217" spans="2:32" x14ac:dyDescent="0.25">
      <c r="B217" s="32"/>
      <c r="C217" s="205" t="s">
        <v>551</v>
      </c>
      <c r="D217" s="407">
        <f>D168</f>
        <v>5305</v>
      </c>
      <c r="E217" s="407"/>
      <c r="F217" s="407"/>
      <c r="G217" s="407"/>
      <c r="H217" s="407"/>
      <c r="I217" s="407"/>
      <c r="J217" s="407"/>
      <c r="K217" s="407"/>
      <c r="L217" s="407"/>
      <c r="M217" s="407"/>
      <c r="N217" s="407"/>
      <c r="O217" s="407"/>
      <c r="P217" s="206"/>
      <c r="Q217" s="26"/>
      <c r="R217" s="27"/>
      <c r="U217" s="554"/>
      <c r="V217" s="554"/>
      <c r="W217" s="554"/>
      <c r="X217" s="554"/>
      <c r="Y217" s="554"/>
      <c r="Z217" s="554"/>
      <c r="AA217" s="554"/>
      <c r="AB217" s="554"/>
      <c r="AC217" s="554"/>
      <c r="AD217" s="554"/>
      <c r="AE217" s="554"/>
      <c r="AF217" s="554"/>
    </row>
    <row r="218" spans="2:32" ht="16.5" thickBot="1" x14ac:dyDescent="0.3">
      <c r="B218" s="32"/>
      <c r="C218" s="205" t="s">
        <v>548</v>
      </c>
      <c r="D218" s="407">
        <f>D159</f>
        <v>10000</v>
      </c>
      <c r="E218" s="407"/>
      <c r="F218" s="407"/>
      <c r="G218" s="407"/>
      <c r="H218" s="407"/>
      <c r="I218" s="407"/>
      <c r="J218" s="407"/>
      <c r="K218" s="407"/>
      <c r="L218" s="407"/>
      <c r="M218" s="407"/>
      <c r="N218" s="407"/>
      <c r="O218" s="407"/>
      <c r="P218" s="206"/>
      <c r="Q218" s="26"/>
      <c r="R218" s="27"/>
      <c r="U218" s="554">
        <v>25</v>
      </c>
      <c r="V218" s="554">
        <v>26</v>
      </c>
      <c r="W218" s="554">
        <v>27</v>
      </c>
      <c r="X218" s="554">
        <v>28</v>
      </c>
      <c r="Y218" s="554">
        <v>29</v>
      </c>
      <c r="Z218" s="554">
        <v>30</v>
      </c>
      <c r="AA218" s="554">
        <v>31</v>
      </c>
      <c r="AB218" s="554">
        <v>32</v>
      </c>
      <c r="AC218" s="554">
        <v>33</v>
      </c>
      <c r="AD218" s="554">
        <v>34</v>
      </c>
      <c r="AE218" s="554">
        <v>35</v>
      </c>
      <c r="AF218" s="554">
        <v>36</v>
      </c>
    </row>
    <row r="219" spans="2:32" x14ac:dyDescent="0.25">
      <c r="B219" s="32"/>
      <c r="C219" s="222" t="s">
        <v>543</v>
      </c>
      <c r="D219" s="406">
        <f t="shared" ref="D219:O219" si="8">SUM(D220:D234)</f>
        <v>26407.560512113618</v>
      </c>
      <c r="E219" s="406">
        <f t="shared" si="8"/>
        <v>16247.560512113614</v>
      </c>
      <c r="F219" s="406">
        <f t="shared" si="8"/>
        <v>16247.560512113616</v>
      </c>
      <c r="G219" s="406">
        <f t="shared" si="8"/>
        <v>16247.560512113616</v>
      </c>
      <c r="H219" s="406">
        <f t="shared" si="8"/>
        <v>16247.560512113616</v>
      </c>
      <c r="I219" s="406">
        <f t="shared" si="8"/>
        <v>16247.560512113616</v>
      </c>
      <c r="J219" s="406">
        <f t="shared" si="8"/>
        <v>16247.560512113616</v>
      </c>
      <c r="K219" s="406">
        <f t="shared" si="8"/>
        <v>16247.560512113614</v>
      </c>
      <c r="L219" s="406">
        <f t="shared" si="8"/>
        <v>16247.560512113616</v>
      </c>
      <c r="M219" s="406">
        <f t="shared" si="8"/>
        <v>16247.560512113616</v>
      </c>
      <c r="N219" s="406">
        <f t="shared" si="8"/>
        <v>16247.560512113614</v>
      </c>
      <c r="O219" s="406">
        <f t="shared" si="8"/>
        <v>22944.466924494027</v>
      </c>
      <c r="P219" s="206"/>
      <c r="Q219" s="26"/>
      <c r="R219" s="27"/>
      <c r="T219" s="131" t="s">
        <v>883</v>
      </c>
      <c r="U219" s="498">
        <f>IF(D168="",O,IPMT(D170/12,25,D169*12,-D168))</f>
        <v>16.856341295970349</v>
      </c>
      <c r="V219" s="499">
        <f>IF(D168="",O,IPMT(D170/12,26,D169*12,-D168))</f>
        <v>16.427820441882126</v>
      </c>
      <c r="W219" s="499">
        <f>IF(D168="",O,IPMT(D170/12,27,D169*12,-D168))</f>
        <v>15.99715698352346</v>
      </c>
      <c r="X219" s="499">
        <f>IF(D168="",O,IPMT(D170/12,28,D169*12,-D168))</f>
        <v>15.564340207873002</v>
      </c>
      <c r="Y219" s="499">
        <f>IF(D168="",O,IPMT(D170/12,29,D169*12,-D168))</f>
        <v>15.129359348344289</v>
      </c>
      <c r="Z219" s="499">
        <f>IF(D168="",O,IPMT(D170/12,30,D169*12,-D168))</f>
        <v>14.692203584517939</v>
      </c>
      <c r="AA219" s="499">
        <f>IF(D168="",O,IPMT(D170/12,31,D169*12,-D168))</f>
        <v>14.252862041872454</v>
      </c>
      <c r="AB219" s="499">
        <f>IF(D168="",O,IPMT(D170/12,32,D169*12,-D168))</f>
        <v>13.81132379151374</v>
      </c>
      <c r="AC219" s="499">
        <f>IF(D168="",O,IPMT(D170/12,33,D169*12,-D168))</f>
        <v>13.367577849903229</v>
      </c>
      <c r="AD219" s="499">
        <f>IF(D168="",O,IPMT(D170/12,34,D169*12,-D168))</f>
        <v>12.921613178584671</v>
      </c>
      <c r="AE219" s="499">
        <f>IF(D168="",O,IPMT(D170/12,35,D169*12,-D168))</f>
        <v>12.473418683909518</v>
      </c>
      <c r="AF219" s="499">
        <f>IF(D168="",O,IPMT(D170/12,36,D169*12,-D168))</f>
        <v>12.022983216760993</v>
      </c>
    </row>
    <row r="220" spans="2:32" ht="16.5" thickBot="1" x14ac:dyDescent="0.3">
      <c r="B220" s="32"/>
      <c r="C220" s="205" t="s">
        <v>560</v>
      </c>
      <c r="D220" s="407">
        <f>D210*D177</f>
        <v>9000</v>
      </c>
      <c r="E220" s="407">
        <f t="shared" ref="E220:E227" si="9">D220</f>
        <v>9000</v>
      </c>
      <c r="F220" s="407">
        <f t="shared" ref="F220:O220" si="10">E220</f>
        <v>9000</v>
      </c>
      <c r="G220" s="407">
        <f t="shared" si="10"/>
        <v>9000</v>
      </c>
      <c r="H220" s="407">
        <f t="shared" si="10"/>
        <v>9000</v>
      </c>
      <c r="I220" s="407">
        <f t="shared" si="10"/>
        <v>9000</v>
      </c>
      <c r="J220" s="407">
        <f t="shared" si="10"/>
        <v>9000</v>
      </c>
      <c r="K220" s="407">
        <f t="shared" si="10"/>
        <v>9000</v>
      </c>
      <c r="L220" s="407">
        <f t="shared" si="10"/>
        <v>9000</v>
      </c>
      <c r="M220" s="407">
        <f t="shared" si="10"/>
        <v>9000</v>
      </c>
      <c r="N220" s="407">
        <f t="shared" si="10"/>
        <v>9000</v>
      </c>
      <c r="O220" s="407">
        <f t="shared" si="10"/>
        <v>9000</v>
      </c>
      <c r="P220" s="206"/>
      <c r="Q220" s="26"/>
      <c r="R220" s="27"/>
      <c r="T220" s="131" t="s">
        <v>884</v>
      </c>
      <c r="U220" s="500">
        <f>IF(D168="",O,PPMT(D170/12,25,D169*12,-D168))</f>
        <v>85.704170817644737</v>
      </c>
      <c r="V220" s="501">
        <f>IF(D168="",O,PPMT(D170/12,26,D169*12,-D168))</f>
        <v>86.132691671732957</v>
      </c>
      <c r="W220" s="501">
        <f>IF(D168="",O,PPMT(D170/12,27,D169*12,-D168))</f>
        <v>86.563355130091622</v>
      </c>
      <c r="X220" s="501">
        <f>IF(D168="",O,PPMT(D170/12,28,D169*12,-D168))</f>
        <v>86.996171905742088</v>
      </c>
      <c r="Y220" s="501">
        <f>IF(D168="",O,PPMT(D170/12,29,D169*12,-D168))</f>
        <v>87.431152765270795</v>
      </c>
      <c r="Z220" s="501">
        <f>IF(D168="",O,PPMT(D170/12,30,D169*12,-D168))</f>
        <v>87.868308529097135</v>
      </c>
      <c r="AA220" s="501">
        <f>IF(D168="",O,PPMT(D170/12,31,D169*12,-D168))</f>
        <v>88.307650071742628</v>
      </c>
      <c r="AB220" s="501">
        <f>IF(D168="",O,PPMT(D170/12,32,D169*12,-D168))</f>
        <v>88.749188322101347</v>
      </c>
      <c r="AC220" s="501">
        <f>IF(D168="",O,PPMT(D170/12,33,D169*12,-D168))</f>
        <v>89.192934263711848</v>
      </c>
      <c r="AD220" s="501">
        <f>IF(D168="",O,PPMT(D170/12,34,D169*12,-D168))</f>
        <v>89.638898935030397</v>
      </c>
      <c r="AE220" s="501">
        <f>IF(D168="",O,PPMT(D170/12,35,D169*12,-D168))</f>
        <v>90.087093429705547</v>
      </c>
      <c r="AF220" s="501">
        <f>IF(D168="",O,PPMT(D170/12,36,D169*12,-D168))</f>
        <v>90.537528896854099</v>
      </c>
    </row>
    <row r="221" spans="2:32" x14ac:dyDescent="0.25">
      <c r="B221" s="32"/>
      <c r="C221" s="205" t="s">
        <v>549</v>
      </c>
      <c r="D221" s="407">
        <f>D145+D147</f>
        <v>4000</v>
      </c>
      <c r="E221" s="407">
        <f t="shared" si="9"/>
        <v>4000</v>
      </c>
      <c r="F221" s="407">
        <f t="shared" ref="F221:O226" si="11">E221</f>
        <v>4000</v>
      </c>
      <c r="G221" s="407">
        <f t="shared" si="11"/>
        <v>4000</v>
      </c>
      <c r="H221" s="407">
        <f t="shared" si="11"/>
        <v>4000</v>
      </c>
      <c r="I221" s="407">
        <f t="shared" si="11"/>
        <v>4000</v>
      </c>
      <c r="J221" s="407">
        <f t="shared" si="11"/>
        <v>4000</v>
      </c>
      <c r="K221" s="407">
        <f t="shared" si="11"/>
        <v>4000</v>
      </c>
      <c r="L221" s="407">
        <f t="shared" si="11"/>
        <v>4000</v>
      </c>
      <c r="M221" s="407">
        <f t="shared" si="11"/>
        <v>4000</v>
      </c>
      <c r="N221" s="407">
        <f t="shared" si="11"/>
        <v>4000</v>
      </c>
      <c r="O221" s="407">
        <f t="shared" si="11"/>
        <v>4000</v>
      </c>
      <c r="P221" s="206"/>
      <c r="Q221" s="26"/>
      <c r="R221" s="27"/>
      <c r="U221" s="554"/>
      <c r="V221" s="554"/>
      <c r="W221" s="554"/>
      <c r="X221" s="554"/>
      <c r="Y221" s="554"/>
      <c r="Z221" s="554"/>
      <c r="AA221" s="554"/>
      <c r="AB221" s="554"/>
      <c r="AC221" s="554"/>
      <c r="AD221" s="554"/>
      <c r="AE221" s="554"/>
      <c r="AF221" s="554"/>
    </row>
    <row r="222" spans="2:32" x14ac:dyDescent="0.25">
      <c r="B222" s="32"/>
      <c r="C222" s="205" t="s">
        <v>552</v>
      </c>
      <c r="D222" s="407">
        <f>D138</f>
        <v>300</v>
      </c>
      <c r="E222" s="407">
        <f t="shared" si="9"/>
        <v>300</v>
      </c>
      <c r="F222" s="407">
        <f t="shared" si="11"/>
        <v>300</v>
      </c>
      <c r="G222" s="407">
        <f t="shared" si="11"/>
        <v>300</v>
      </c>
      <c r="H222" s="407">
        <f t="shared" si="11"/>
        <v>300</v>
      </c>
      <c r="I222" s="407">
        <f t="shared" si="11"/>
        <v>300</v>
      </c>
      <c r="J222" s="407">
        <f t="shared" si="11"/>
        <v>300</v>
      </c>
      <c r="K222" s="407">
        <f t="shared" si="11"/>
        <v>300</v>
      </c>
      <c r="L222" s="407">
        <f t="shared" si="11"/>
        <v>300</v>
      </c>
      <c r="M222" s="407">
        <f t="shared" si="11"/>
        <v>300</v>
      </c>
      <c r="N222" s="407">
        <f t="shared" si="11"/>
        <v>300</v>
      </c>
      <c r="O222" s="407">
        <f t="shared" si="11"/>
        <v>300</v>
      </c>
      <c r="P222" s="206"/>
      <c r="Q222" s="26"/>
      <c r="R222" s="27"/>
      <c r="U222" s="554"/>
      <c r="V222" s="554"/>
      <c r="W222" s="554"/>
      <c r="X222" s="554"/>
      <c r="Y222" s="554"/>
      <c r="Z222" s="554"/>
      <c r="AA222" s="554"/>
      <c r="AB222" s="554"/>
      <c r="AC222" s="554"/>
      <c r="AD222" s="554"/>
      <c r="AE222" s="554"/>
      <c r="AF222" s="554"/>
    </row>
    <row r="223" spans="2:32" ht="16.5" thickBot="1" x14ac:dyDescent="0.3">
      <c r="B223" s="32"/>
      <c r="C223" s="205" t="s">
        <v>554</v>
      </c>
      <c r="D223" s="407">
        <f>D143</f>
        <v>50</v>
      </c>
      <c r="E223" s="407">
        <f t="shared" si="9"/>
        <v>50</v>
      </c>
      <c r="F223" s="407">
        <f t="shared" si="11"/>
        <v>50</v>
      </c>
      <c r="G223" s="407">
        <f t="shared" si="11"/>
        <v>50</v>
      </c>
      <c r="H223" s="407">
        <f t="shared" si="11"/>
        <v>50</v>
      </c>
      <c r="I223" s="407">
        <f t="shared" si="11"/>
        <v>50</v>
      </c>
      <c r="J223" s="407">
        <f t="shared" si="11"/>
        <v>50</v>
      </c>
      <c r="K223" s="407">
        <f t="shared" si="11"/>
        <v>50</v>
      </c>
      <c r="L223" s="407">
        <f t="shared" si="11"/>
        <v>50</v>
      </c>
      <c r="M223" s="407">
        <f t="shared" si="11"/>
        <v>50</v>
      </c>
      <c r="N223" s="407">
        <f t="shared" si="11"/>
        <v>50</v>
      </c>
      <c r="O223" s="407">
        <f t="shared" si="11"/>
        <v>50</v>
      </c>
      <c r="P223" s="206"/>
      <c r="Q223" s="26"/>
      <c r="R223" s="27"/>
      <c r="U223" s="554">
        <v>37</v>
      </c>
      <c r="V223" s="554">
        <v>38</v>
      </c>
      <c r="W223" s="554">
        <v>39</v>
      </c>
      <c r="X223" s="554">
        <v>40</v>
      </c>
      <c r="Y223" s="554">
        <v>41</v>
      </c>
      <c r="Z223" s="554">
        <v>42</v>
      </c>
      <c r="AA223" s="554">
        <v>43</v>
      </c>
      <c r="AB223" s="554">
        <v>44</v>
      </c>
      <c r="AC223" s="554">
        <v>45</v>
      </c>
      <c r="AD223" s="554">
        <v>46</v>
      </c>
      <c r="AE223" s="554">
        <v>47</v>
      </c>
      <c r="AF223" s="554">
        <v>48</v>
      </c>
    </row>
    <row r="224" spans="2:32" x14ac:dyDescent="0.25">
      <c r="B224" s="32"/>
      <c r="C224" s="205" t="s">
        <v>555</v>
      </c>
      <c r="D224" s="407">
        <f>D139+D140+D141+D144</f>
        <v>465</v>
      </c>
      <c r="E224" s="407">
        <f t="shared" si="9"/>
        <v>465</v>
      </c>
      <c r="F224" s="407">
        <f t="shared" si="11"/>
        <v>465</v>
      </c>
      <c r="G224" s="407">
        <f t="shared" si="11"/>
        <v>465</v>
      </c>
      <c r="H224" s="407">
        <f t="shared" si="11"/>
        <v>465</v>
      </c>
      <c r="I224" s="407">
        <f t="shared" si="11"/>
        <v>465</v>
      </c>
      <c r="J224" s="407">
        <f t="shared" si="11"/>
        <v>465</v>
      </c>
      <c r="K224" s="407">
        <f t="shared" si="11"/>
        <v>465</v>
      </c>
      <c r="L224" s="407">
        <f t="shared" si="11"/>
        <v>465</v>
      </c>
      <c r="M224" s="407">
        <f t="shared" si="11"/>
        <v>465</v>
      </c>
      <c r="N224" s="407">
        <f t="shared" si="11"/>
        <v>465</v>
      </c>
      <c r="O224" s="407">
        <f t="shared" si="11"/>
        <v>465</v>
      </c>
      <c r="P224" s="206"/>
      <c r="Q224" s="26"/>
      <c r="R224" s="27"/>
      <c r="T224" s="131" t="s">
        <v>885</v>
      </c>
      <c r="U224" s="498">
        <f>IF(D168="",O,IPMT(D170/12,37,D169*12,-D168))</f>
        <v>11.570295572276724</v>
      </c>
      <c r="V224" s="499">
        <f>IF(D168="",O,IPMT(D170/12,38,D169*12,-D168))</f>
        <v>11.115344489570029</v>
      </c>
      <c r="W224" s="499">
        <f>IF(D168="",O,IPMT(D170/12,39,D169*12,-D168))</f>
        <v>10.658118651449804</v>
      </c>
      <c r="X224" s="499">
        <f>IF(D168="",O,IPMT(D170/12,40,D169*12,-D168))</f>
        <v>10.198606684138978</v>
      </c>
      <c r="Y224" s="499">
        <f>IF(D168="",O,IPMT(D170/12,41,D169*12,-D168))</f>
        <v>9.7367971569915976</v>
      </c>
      <c r="Z224" s="499">
        <f>IF(D168="",O,IPMT(D170/12,42,D169*12,-D168))</f>
        <v>9.2726785822084796</v>
      </c>
      <c r="AA224" s="499">
        <f>IF(D168="",O,IPMT(D170/12,43,D169*12,-D168))</f>
        <v>8.8062394145514471</v>
      </c>
      <c r="AB224" s="499">
        <f>IF(D168="",O,IPMT(D170/12,44,D169*12,-D168))</f>
        <v>8.3374680510561276</v>
      </c>
      <c r="AC224" s="499">
        <f>IF(D168="",O,IPMT(D170/12,45,D169*12,-D168))</f>
        <v>7.8663528307433328</v>
      </c>
      <c r="AD224" s="499">
        <f>IF(D168="",O,IPMT(D170/12,46,D169*12,-D168))</f>
        <v>7.3928820343289754</v>
      </c>
      <c r="AE224" s="499">
        <f>IF(D168="",O,IPMT(D170/12,47,D169*12,-D168))</f>
        <v>6.9170438839325437</v>
      </c>
      <c r="AF224" s="499">
        <f>IF(D168="",O,IPMT(D170/12,48,D169*12,-D168))</f>
        <v>6.438826542784132</v>
      </c>
    </row>
    <row r="225" spans="2:32" ht="16.5" thickBot="1" x14ac:dyDescent="0.3">
      <c r="B225" s="32"/>
      <c r="C225" s="205" t="s">
        <v>557</v>
      </c>
      <c r="D225" s="407">
        <f>D128</f>
        <v>600</v>
      </c>
      <c r="E225" s="407">
        <f t="shared" si="9"/>
        <v>600</v>
      </c>
      <c r="F225" s="407">
        <f t="shared" si="11"/>
        <v>600</v>
      </c>
      <c r="G225" s="407">
        <f t="shared" si="11"/>
        <v>600</v>
      </c>
      <c r="H225" s="407">
        <f t="shared" si="11"/>
        <v>600</v>
      </c>
      <c r="I225" s="407">
        <f t="shared" si="11"/>
        <v>600</v>
      </c>
      <c r="J225" s="407">
        <f t="shared" si="11"/>
        <v>600</v>
      </c>
      <c r="K225" s="407">
        <f t="shared" si="11"/>
        <v>600</v>
      </c>
      <c r="L225" s="407">
        <f t="shared" si="11"/>
        <v>600</v>
      </c>
      <c r="M225" s="407">
        <f t="shared" si="11"/>
        <v>600</v>
      </c>
      <c r="N225" s="407">
        <f t="shared" si="11"/>
        <v>600</v>
      </c>
      <c r="O225" s="407">
        <f t="shared" si="11"/>
        <v>600</v>
      </c>
      <c r="P225" s="206"/>
      <c r="Q225" s="26"/>
      <c r="R225" s="27"/>
      <c r="T225" s="131" t="s">
        <v>886</v>
      </c>
      <c r="U225" s="500">
        <f>IF(D168="",O,PPMT(D170/12,37,D169*12,-D168))</f>
        <v>90.990216541338356</v>
      </c>
      <c r="V225" s="501">
        <f>IF(D168="",O,PPMT(D170/12,38,D169*12,-D168))</f>
        <v>91.445167624045041</v>
      </c>
      <c r="W225" s="501">
        <f>IF(D168="",O,PPMT(D170/12,39,D169*12,-D168))</f>
        <v>91.902393462165278</v>
      </c>
      <c r="X225" s="501">
        <f>IF(D168="",O,PPMT(D170/12,40,D169*12,-D168))</f>
        <v>92.361905429476096</v>
      </c>
      <c r="Y225" s="501">
        <f>IF(D168="",O,PPMT(D170/12,41,D169*12,-D168))</f>
        <v>92.823714956623476</v>
      </c>
      <c r="Z225" s="501">
        <f>IF(D168="",O,PPMT(D170/12,42,D169*12,-D168))</f>
        <v>93.287833531406591</v>
      </c>
      <c r="AA225" s="501">
        <f>IF(D168="",O,PPMT(D170/12,43,D169*12,-D168))</f>
        <v>93.754272699063648</v>
      </c>
      <c r="AB225" s="501">
        <f>IF(D168="",O,PPMT(D170/12,44,D169*12,-D168))</f>
        <v>94.223044062558955</v>
      </c>
      <c r="AC225" s="501">
        <f>IF(D168="",O,PPMT(D170/12,45,D169*12,-D168))</f>
        <v>94.694159282871752</v>
      </c>
      <c r="AD225" s="501">
        <f>IF(D168="",O,PPMT(D170/12,46,D169*12,-D168))</f>
        <v>95.167630079286099</v>
      </c>
      <c r="AE225" s="501">
        <f>IF(D168="",O,PPMT(D170/12,47,D169*12,-D168))</f>
        <v>95.643468229682526</v>
      </c>
      <c r="AF225" s="501">
        <f>IF(D168="",O,PPMT(D170/12,48,D169*12,-D168))</f>
        <v>96.121685570830948</v>
      </c>
    </row>
    <row r="226" spans="2:32" x14ac:dyDescent="0.25">
      <c r="B226" s="32"/>
      <c r="C226" s="205" t="s">
        <v>556</v>
      </c>
      <c r="D226" s="407">
        <f>D142</f>
        <v>50</v>
      </c>
      <c r="E226" s="407">
        <f t="shared" si="9"/>
        <v>50</v>
      </c>
      <c r="F226" s="407">
        <f t="shared" si="11"/>
        <v>50</v>
      </c>
      <c r="G226" s="407">
        <f t="shared" si="11"/>
        <v>50</v>
      </c>
      <c r="H226" s="407">
        <f t="shared" si="11"/>
        <v>50</v>
      </c>
      <c r="I226" s="407">
        <f t="shared" si="11"/>
        <v>50</v>
      </c>
      <c r="J226" s="407">
        <f t="shared" si="11"/>
        <v>50</v>
      </c>
      <c r="K226" s="407">
        <f t="shared" si="11"/>
        <v>50</v>
      </c>
      <c r="L226" s="407">
        <f t="shared" si="11"/>
        <v>50</v>
      </c>
      <c r="M226" s="407">
        <f t="shared" si="11"/>
        <v>50</v>
      </c>
      <c r="N226" s="407">
        <f t="shared" si="11"/>
        <v>50</v>
      </c>
      <c r="O226" s="407">
        <f t="shared" si="11"/>
        <v>50</v>
      </c>
      <c r="P226" s="206"/>
      <c r="Q226" s="26"/>
      <c r="R226" s="27"/>
      <c r="U226" s="554"/>
      <c r="V226" s="554"/>
      <c r="W226" s="554"/>
      <c r="X226" s="554"/>
      <c r="Y226" s="554"/>
      <c r="Z226" s="554"/>
      <c r="AA226" s="554"/>
      <c r="AB226" s="554"/>
      <c r="AC226" s="554"/>
      <c r="AD226" s="554"/>
      <c r="AE226" s="554"/>
      <c r="AF226" s="554"/>
    </row>
    <row r="227" spans="2:32" x14ac:dyDescent="0.25">
      <c r="B227" s="32"/>
      <c r="C227" s="205" t="s">
        <v>724</v>
      </c>
      <c r="D227" s="407">
        <f>D149</f>
        <v>400</v>
      </c>
      <c r="E227" s="407">
        <f t="shared" si="9"/>
        <v>400</v>
      </c>
      <c r="F227" s="407">
        <f t="shared" ref="F227" si="12">E227</f>
        <v>400</v>
      </c>
      <c r="G227" s="407">
        <f t="shared" ref="G227" si="13">F227</f>
        <v>400</v>
      </c>
      <c r="H227" s="407">
        <f t="shared" ref="H227" si="14">G227</f>
        <v>400</v>
      </c>
      <c r="I227" s="407">
        <f t="shared" ref="I227" si="15">H227</f>
        <v>400</v>
      </c>
      <c r="J227" s="407">
        <f t="shared" ref="J227" si="16">I227</f>
        <v>400</v>
      </c>
      <c r="K227" s="407">
        <f t="shared" ref="K227" si="17">J227</f>
        <v>400</v>
      </c>
      <c r="L227" s="407">
        <f t="shared" ref="L227" si="18">K227</f>
        <v>400</v>
      </c>
      <c r="M227" s="407">
        <f t="shared" ref="M227" si="19">L227</f>
        <v>400</v>
      </c>
      <c r="N227" s="407">
        <f t="shared" ref="N227" si="20">M227</f>
        <v>400</v>
      </c>
      <c r="O227" s="407">
        <f t="shared" ref="O227" si="21">N227</f>
        <v>400</v>
      </c>
      <c r="P227" s="206"/>
      <c r="Q227" s="26"/>
      <c r="R227" s="27"/>
      <c r="U227" s="554"/>
      <c r="V227" s="554"/>
      <c r="W227" s="554"/>
      <c r="X227" s="554"/>
      <c r="Y227" s="554"/>
      <c r="Z227" s="554"/>
      <c r="AA227" s="554"/>
      <c r="AB227" s="554"/>
      <c r="AC227" s="554"/>
      <c r="AD227" s="554"/>
      <c r="AE227" s="554"/>
      <c r="AF227" s="554"/>
    </row>
    <row r="228" spans="2:32" ht="16.5" thickBot="1" x14ac:dyDescent="0.3">
      <c r="B228" s="32"/>
      <c r="C228" s="205" t="s">
        <v>550</v>
      </c>
      <c r="D228" s="407">
        <f>D129+D132+D135+D136</f>
        <v>4100</v>
      </c>
      <c r="E228" s="407">
        <v>0</v>
      </c>
      <c r="F228" s="407">
        <v>0</v>
      </c>
      <c r="G228" s="407">
        <v>0</v>
      </c>
      <c r="H228" s="407">
        <v>0</v>
      </c>
      <c r="I228" s="407">
        <v>0</v>
      </c>
      <c r="J228" s="407">
        <v>0</v>
      </c>
      <c r="K228" s="407">
        <v>0</v>
      </c>
      <c r="L228" s="407">
        <v>0</v>
      </c>
      <c r="M228" s="407">
        <v>0</v>
      </c>
      <c r="N228" s="407">
        <v>0</v>
      </c>
      <c r="O228" s="407">
        <v>0</v>
      </c>
      <c r="P228" s="206"/>
      <c r="Q228" s="26"/>
      <c r="R228" s="27"/>
      <c r="U228" s="554">
        <v>49</v>
      </c>
      <c r="V228" s="554">
        <v>50</v>
      </c>
      <c r="W228" s="554">
        <v>51</v>
      </c>
      <c r="X228" s="554">
        <v>52</v>
      </c>
      <c r="Y228" s="554">
        <v>53</v>
      </c>
      <c r="Z228" s="554">
        <v>54</v>
      </c>
      <c r="AA228" s="554">
        <v>55</v>
      </c>
      <c r="AB228" s="554">
        <v>56</v>
      </c>
      <c r="AC228" s="554">
        <v>57</v>
      </c>
      <c r="AD228" s="554">
        <v>58</v>
      </c>
      <c r="AE228" s="554">
        <v>59</v>
      </c>
      <c r="AF228" s="554">
        <v>60</v>
      </c>
    </row>
    <row r="229" spans="2:32" x14ac:dyDescent="0.25">
      <c r="B229" s="32"/>
      <c r="C229" s="205" t="s">
        <v>738</v>
      </c>
      <c r="D229" s="407">
        <f>IF(D168="",O,IPMT(D170/12,1,D169*12,-D168))</f>
        <v>26.525000000000002</v>
      </c>
      <c r="E229" s="407">
        <f>IF(D168="",O,IPMT(D170/12,2,D169*12,-D168))</f>
        <v>26.144822439431923</v>
      </c>
      <c r="F229" s="407">
        <f>IF(D168="",O,IPMT(D170/12,3,D169*12,-D168))</f>
        <v>25.762743991061001</v>
      </c>
      <c r="G229" s="407">
        <f>IF(D168="",O,IPMT(D170/12,4,D169*12,-D168))</f>
        <v>25.378755150448232</v>
      </c>
      <c r="H229" s="407">
        <f>IF(D168="",O,IPMT(D170/12,5,D169*12,-D168))</f>
        <v>24.992846365632403</v>
      </c>
      <c r="I229" s="407">
        <f>IF(D168="",O,IPMT(D170/12,6,D169*12,-D168))</f>
        <v>24.605008036892492</v>
      </c>
      <c r="J229" s="407">
        <f>IF(D168="",O,IPMT(D170/12,7,D169*12,-D168))</f>
        <v>24.215230516508875</v>
      </c>
      <c r="K229" s="407">
        <f>IF(D168="",O,IPMT(D170/12,8,D169*12,-D168))</f>
        <v>23.823504108523345</v>
      </c>
      <c r="L229" s="407">
        <f>IF(D168="",O,IPMT(D170/12,9,D169*12,-D168))</f>
        <v>23.429819068497881</v>
      </c>
      <c r="M229" s="407">
        <f>IF(D168="",O,IPMT(D170/12,10,D169*12,-D168))</f>
        <v>23.034165603272296</v>
      </c>
      <c r="N229" s="407">
        <f>IF(D168="",O,IPMT(D170/12,11,D169*12,-D168))</f>
        <v>22.636533870720587</v>
      </c>
      <c r="O229" s="407">
        <f>IF(D168="",O,IPMT(D170/12,12,D169*12,-D168))</f>
        <v>22.236913979506113</v>
      </c>
      <c r="P229" s="206"/>
      <c r="Q229" s="26"/>
      <c r="R229" s="27"/>
      <c r="T229" s="131" t="s">
        <v>887</v>
      </c>
      <c r="U229" s="498">
        <f>IF(D168="",O,IPMT(D170/12,49,D169*12,-D168))</f>
        <v>5.958218114929978</v>
      </c>
      <c r="V229" s="499">
        <f>IF(D168="",O,IPMT(D170/12,50,D169*12,-D168))</f>
        <v>5.4752066449365513</v>
      </c>
      <c r="W229" s="499">
        <f>IF(D168="",O,IPMT(D170/12,51,D169*12,-D168))</f>
        <v>4.9897801175931589</v>
      </c>
      <c r="X229" s="499">
        <f>IF(D168="",O,IPMT(D170/12,52,D169*12,-D168))</f>
        <v>4.5019264576130489</v>
      </c>
      <c r="Y229" s="499">
        <f>IF(D168="",O,IPMT(D170/12,53,D169*12,-D168))</f>
        <v>4.0116335293330385</v>
      </c>
      <c r="Z229" s="499">
        <f>IF(D168="",O,IPMT(D170/12,54,D169*12,-D168))</f>
        <v>3.5188891364116279</v>
      </c>
      <c r="AA229" s="499">
        <f>IF(D168="",O,IPMT(D170/12,55,D169*12,-D168))</f>
        <v>3.0236810215256114</v>
      </c>
      <c r="AB229" s="499">
        <f>IF(D168="",O,IPMT(D170/12,56,D169*12,-D168))</f>
        <v>2.5259968660651633</v>
      </c>
      <c r="AC229" s="499">
        <f>IF(D168="",O,IPMT(D170/12,57,D169*12,-D168))</f>
        <v>2.0258242898274137</v>
      </c>
      <c r="AD229" s="499">
        <f>IF(D168="",O,IPMT(D170/12,58,D169*12,-D168))</f>
        <v>1.5231508507084752</v>
      </c>
      <c r="AE229" s="499">
        <f>IF(D168="",O,IPMT(D170/12,59,D169*12,-D168))</f>
        <v>1.0179640443939422</v>
      </c>
      <c r="AF229" s="499">
        <f>IF(D168="",O,IPMT(D170/12,60,D169*12,-D168))</f>
        <v>0.51025130404783636</v>
      </c>
    </row>
    <row r="230" spans="2:32" ht="16.5" thickBot="1" x14ac:dyDescent="0.3">
      <c r="B230" s="32"/>
      <c r="C230" s="205" t="s">
        <v>739</v>
      </c>
      <c r="D230" s="407">
        <f>IF(D168="",O,PPMT(D170/12,1,D169*12,-D168))</f>
        <v>76.035512113615084</v>
      </c>
      <c r="E230" s="407">
        <f>IF(D168="",O,PPMT(D170/12,2,D169*12,-D168))</f>
        <v>76.415689674183156</v>
      </c>
      <c r="F230" s="407">
        <f>IF(D168="",O,PPMT(D170/12,3,D169*12,-D168))</f>
        <v>76.797768122554075</v>
      </c>
      <c r="G230" s="407">
        <f>IF(D168="",O,PPMT(D170/12,4,D169*12,-D168))</f>
        <v>77.181756963166833</v>
      </c>
      <c r="H230" s="407">
        <f>IF(D168="",O,PPMT(D170/12,5,D169*12,-D168))</f>
        <v>77.567665747982687</v>
      </c>
      <c r="I230" s="407">
        <f>IF(D168="",O,PPMT(D170/12,6,D169*12,-D168))</f>
        <v>77.95550407672259</v>
      </c>
      <c r="J230" s="407">
        <f>IF(D168="",O,PPMT(D170/12,7,D169*12,-D168))</f>
        <v>78.345281597106208</v>
      </c>
      <c r="K230" s="407">
        <f>IF(D168="",O,PPMT(D170/12,8,D169*12,-D168))</f>
        <v>78.737008005091738</v>
      </c>
      <c r="L230" s="407">
        <f>IF(D168="",O,PPMT(D170/12,9,D169*12,-D168))</f>
        <v>79.130693045117184</v>
      </c>
      <c r="M230" s="407">
        <f>IF(D168="",O,PPMT(D170/12,10,D169*12,-D168))</f>
        <v>79.52634651034279</v>
      </c>
      <c r="N230" s="407">
        <f>IF(D168="",O,PPMT(D170/12,11,D169*12,-D168))</f>
        <v>79.923978242894492</v>
      </c>
      <c r="O230" s="407">
        <f>IF(D168="",O,PPMT(D170/12,12,D169*12,-D168))</f>
        <v>80.323598134108977</v>
      </c>
      <c r="P230" s="206"/>
      <c r="Q230" s="26"/>
      <c r="R230" s="27"/>
      <c r="T230" s="131" t="s">
        <v>888</v>
      </c>
      <c r="U230" s="500">
        <f>IF(D168="",O,PPMT(D170/12,49,D169*12,-D168))</f>
        <v>96.602293998685113</v>
      </c>
      <c r="V230" s="501">
        <f>IF(D168="",O,PPMT(D170/12,50,D169*12,-D168))</f>
        <v>97.085305468678527</v>
      </c>
      <c r="W230" s="501">
        <f>IF(D168="",O,PPMT(D170/12,51,D169*12,-D168))</f>
        <v>97.570731996021919</v>
      </c>
      <c r="X230" s="501">
        <f>IF(D168="",O,PPMT(D170/12,52,D169*12,-D168))</f>
        <v>98.058585656002037</v>
      </c>
      <c r="Y230" s="501">
        <f>IF(D168="",O,PPMT(D170/12,53,D169*12,-D168))</f>
        <v>98.54887858428205</v>
      </c>
      <c r="Z230" s="501">
        <f>IF(D168="",O,PPMT(D170/12,54,D169*12,-D168))</f>
        <v>99.04162297720346</v>
      </c>
      <c r="AA230" s="501">
        <f>IF(D168="",O,PPMT(D170/12,55,D169*12,-D168))</f>
        <v>99.536831092089471</v>
      </c>
      <c r="AB230" s="501">
        <f>IF(D168="",O,PPMT(D170/12,56,D169*12,-D168))</f>
        <v>100.03451524754992</v>
      </c>
      <c r="AC230" s="501">
        <f>IF(D168="",O,PPMT(D170/12,57,D169*12,-D168))</f>
        <v>100.53468782378766</v>
      </c>
      <c r="AD230" s="501">
        <f>IF(D168="",O,PPMT(D170/12,58,D169*12,-D168))</f>
        <v>101.0373612629066</v>
      </c>
      <c r="AE230" s="501">
        <f>IF(D168="",O,PPMT(D170/12,59,D169*12,-D168))</f>
        <v>101.54254806922114</v>
      </c>
      <c r="AF230" s="501">
        <f>IF(D168="",O,PPMT(D170/12,60,D169*12,-D168))</f>
        <v>102.05026080956725</v>
      </c>
    </row>
    <row r="231" spans="2:32" x14ac:dyDescent="0.25">
      <c r="B231" s="32"/>
      <c r="C231" s="205" t="s">
        <v>553</v>
      </c>
      <c r="D231" s="407">
        <f>D146+D148</f>
        <v>1280</v>
      </c>
      <c r="E231" s="407">
        <f>D231</f>
        <v>1280</v>
      </c>
      <c r="F231" s="407">
        <f t="shared" ref="F231" si="22">E231</f>
        <v>1280</v>
      </c>
      <c r="G231" s="407">
        <f t="shared" ref="G231" si="23">F231</f>
        <v>1280</v>
      </c>
      <c r="H231" s="407">
        <f t="shared" ref="H231" si="24">G231</f>
        <v>1280</v>
      </c>
      <c r="I231" s="407">
        <f t="shared" ref="I231" si="25">H231</f>
        <v>1280</v>
      </c>
      <c r="J231" s="407">
        <f t="shared" ref="J231" si="26">I231</f>
        <v>1280</v>
      </c>
      <c r="K231" s="407">
        <f t="shared" ref="K231" si="27">J231</f>
        <v>1280</v>
      </c>
      <c r="L231" s="407">
        <f t="shared" ref="L231" si="28">K231</f>
        <v>1280</v>
      </c>
      <c r="M231" s="407">
        <f t="shared" ref="M231" si="29">L231</f>
        <v>1280</v>
      </c>
      <c r="N231" s="407">
        <f t="shared" ref="N231" si="30">M231</f>
        <v>1280</v>
      </c>
      <c r="O231" s="407">
        <f t="shared" ref="O231" si="31">N231</f>
        <v>1280</v>
      </c>
      <c r="P231" s="206"/>
      <c r="Q231" s="26"/>
      <c r="R231" s="27"/>
    </row>
    <row r="232" spans="2:32" x14ac:dyDescent="0.25">
      <c r="B232" s="32"/>
      <c r="C232" s="205" t="s">
        <v>453</v>
      </c>
      <c r="D232" s="407"/>
      <c r="E232" s="407"/>
      <c r="F232" s="407"/>
      <c r="G232" s="407"/>
      <c r="H232" s="407"/>
      <c r="I232" s="407"/>
      <c r="J232" s="407"/>
      <c r="K232" s="407"/>
      <c r="L232" s="407"/>
      <c r="M232" s="407"/>
      <c r="N232" s="407"/>
      <c r="O232" s="407">
        <f>D372</f>
        <v>3826.8036642173761</v>
      </c>
      <c r="P232" s="206"/>
      <c r="Q232" s="26"/>
      <c r="R232" s="27"/>
    </row>
    <row r="233" spans="2:32" x14ac:dyDescent="0.25">
      <c r="B233" s="32"/>
      <c r="C233" s="205" t="s">
        <v>558</v>
      </c>
      <c r="D233" s="407"/>
      <c r="E233" s="407"/>
      <c r="F233" s="407"/>
      <c r="G233" s="407"/>
      <c r="H233" s="407"/>
      <c r="I233" s="407"/>
      <c r="J233" s="407"/>
      <c r="K233" s="407"/>
      <c r="L233" s="407"/>
      <c r="M233" s="407"/>
      <c r="N233" s="407"/>
      <c r="O233" s="407">
        <f>D374</f>
        <v>2870.1027481630322</v>
      </c>
      <c r="P233" s="206"/>
      <c r="Q233" s="26"/>
      <c r="R233" s="27"/>
    </row>
    <row r="234" spans="2:32" x14ac:dyDescent="0.25">
      <c r="B234" s="32"/>
      <c r="C234" s="205" t="s">
        <v>547</v>
      </c>
      <c r="D234" s="407">
        <f>E107+E117</f>
        <v>6060</v>
      </c>
      <c r="E234" s="407"/>
      <c r="F234" s="407"/>
      <c r="G234" s="407"/>
      <c r="H234" s="407"/>
      <c r="I234" s="407"/>
      <c r="J234" s="407"/>
      <c r="K234" s="407"/>
      <c r="L234" s="407"/>
      <c r="M234" s="407"/>
      <c r="N234" s="407"/>
      <c r="O234" s="407"/>
      <c r="P234" s="206"/>
      <c r="Q234" s="26"/>
      <c r="R234" s="27"/>
    </row>
    <row r="235" spans="2:32" x14ac:dyDescent="0.25">
      <c r="B235" s="32"/>
      <c r="C235" s="222" t="s">
        <v>545</v>
      </c>
      <c r="D235" s="406">
        <f t="shared" ref="D235:O235" si="32">D214-D219</f>
        <v>8897.4394878863823</v>
      </c>
      <c r="E235" s="406">
        <f t="shared" si="32"/>
        <v>1752.4394878863859</v>
      </c>
      <c r="F235" s="406">
        <f t="shared" si="32"/>
        <v>1752.4394878863841</v>
      </c>
      <c r="G235" s="406">
        <f t="shared" si="32"/>
        <v>1752.4394878863841</v>
      </c>
      <c r="H235" s="406">
        <f t="shared" si="32"/>
        <v>1752.4394878863841</v>
      </c>
      <c r="I235" s="406">
        <f t="shared" si="32"/>
        <v>1752.4394878863841</v>
      </c>
      <c r="J235" s="406">
        <f t="shared" si="32"/>
        <v>1752.4394878863841</v>
      </c>
      <c r="K235" s="406">
        <f t="shared" si="32"/>
        <v>1752.4394878863859</v>
      </c>
      <c r="L235" s="406">
        <f t="shared" si="32"/>
        <v>1752.4394878863841</v>
      </c>
      <c r="M235" s="406">
        <f t="shared" si="32"/>
        <v>1752.4394878863841</v>
      </c>
      <c r="N235" s="406">
        <f t="shared" si="32"/>
        <v>1752.4394878863859</v>
      </c>
      <c r="O235" s="406">
        <f t="shared" si="32"/>
        <v>-4944.4669244940269</v>
      </c>
      <c r="P235" s="206"/>
      <c r="Q235" s="26"/>
      <c r="R235" s="27"/>
    </row>
    <row r="236" spans="2:32" ht="16.5" thickBot="1" x14ac:dyDescent="0.3">
      <c r="B236" s="32"/>
      <c r="C236" s="223" t="s">
        <v>544</v>
      </c>
      <c r="D236" s="408">
        <f>D235</f>
        <v>8897.4394878863823</v>
      </c>
      <c r="E236" s="408">
        <f>E235+D236</f>
        <v>10649.878975772768</v>
      </c>
      <c r="F236" s="408">
        <f>F235+E236</f>
        <v>12402.318463659152</v>
      </c>
      <c r="G236" s="408">
        <f t="shared" ref="G236" si="33">G235+F236</f>
        <v>14154.757951545536</v>
      </c>
      <c r="H236" s="408">
        <f t="shared" ref="H236" si="34">H235+G236</f>
        <v>15907.19743943192</v>
      </c>
      <c r="I236" s="408">
        <f t="shared" ref="I236" si="35">I235+H236</f>
        <v>17659.636927318305</v>
      </c>
      <c r="J236" s="408">
        <f t="shared" ref="J236" si="36">J235+I236</f>
        <v>19412.07641520469</v>
      </c>
      <c r="K236" s="408">
        <f t="shared" ref="K236" si="37">K235+J236</f>
        <v>21164.515903091076</v>
      </c>
      <c r="L236" s="408">
        <f t="shared" ref="L236" si="38">L235+K236</f>
        <v>22916.955390977462</v>
      </c>
      <c r="M236" s="408">
        <f t="shared" ref="M236" si="39">M235+L236</f>
        <v>24669.394878863844</v>
      </c>
      <c r="N236" s="408">
        <f t="shared" ref="N236" si="40">N235+M236</f>
        <v>26421.83436675023</v>
      </c>
      <c r="O236" s="408">
        <f t="shared" ref="O236" si="41">O235+N236</f>
        <v>21477.367442256204</v>
      </c>
      <c r="P236" s="208"/>
      <c r="Q236" s="26"/>
      <c r="R236" s="27"/>
    </row>
    <row r="237" spans="2:32" x14ac:dyDescent="0.25">
      <c r="B237" s="32"/>
      <c r="C237" s="26"/>
      <c r="D237" s="26"/>
      <c r="E237" s="26"/>
      <c r="F237" s="26"/>
      <c r="G237" s="26"/>
      <c r="H237" s="25"/>
      <c r="I237" s="26"/>
      <c r="J237" s="26"/>
      <c r="K237" s="26"/>
      <c r="L237" s="26"/>
      <c r="M237" s="26"/>
      <c r="N237" s="26"/>
      <c r="O237" s="26"/>
      <c r="P237" s="26"/>
      <c r="Q237" s="26"/>
      <c r="R237" s="27"/>
    </row>
    <row r="238" spans="2:32" x14ac:dyDescent="0.25">
      <c r="B238" s="32"/>
      <c r="C238" s="26"/>
      <c r="D238" s="26"/>
      <c r="E238" s="26"/>
      <c r="F238" s="26"/>
      <c r="G238" s="26"/>
      <c r="H238" s="25"/>
      <c r="I238" s="26"/>
      <c r="J238" s="26"/>
      <c r="K238" s="26"/>
      <c r="L238" s="26"/>
      <c r="M238" s="26"/>
      <c r="N238" s="26"/>
      <c r="O238" s="26"/>
      <c r="P238" s="26"/>
      <c r="Q238" s="26"/>
      <c r="R238" s="27"/>
    </row>
    <row r="239" spans="2:32" x14ac:dyDescent="0.25">
      <c r="B239" s="32"/>
      <c r="C239" s="26"/>
      <c r="D239" s="26"/>
      <c r="E239" s="26"/>
      <c r="F239" s="26"/>
      <c r="G239" s="26"/>
      <c r="H239" s="25"/>
      <c r="I239" s="26"/>
      <c r="J239" s="26"/>
      <c r="K239" s="26"/>
      <c r="L239" s="26"/>
      <c r="M239" s="26"/>
      <c r="N239" s="26"/>
      <c r="O239" s="26"/>
      <c r="P239" s="26"/>
      <c r="Q239" s="26"/>
      <c r="R239" s="27"/>
    </row>
    <row r="240" spans="2:32" x14ac:dyDescent="0.25">
      <c r="B240" s="32"/>
      <c r="C240" s="26"/>
      <c r="D240" s="26"/>
      <c r="E240" s="26"/>
      <c r="F240" s="26"/>
      <c r="G240" s="26"/>
      <c r="H240" s="25"/>
      <c r="I240" s="26"/>
      <c r="J240" s="26"/>
      <c r="K240" s="26"/>
      <c r="L240" s="26"/>
      <c r="M240" s="26"/>
      <c r="N240" s="26"/>
      <c r="O240" s="26"/>
      <c r="P240" s="26"/>
      <c r="Q240" s="26"/>
      <c r="R240" s="27"/>
    </row>
    <row r="241" spans="2:18" x14ac:dyDescent="0.25">
      <c r="B241" s="32"/>
      <c r="C241" s="26"/>
      <c r="D241" s="26"/>
      <c r="E241" s="26"/>
      <c r="F241" s="26"/>
      <c r="G241" s="26"/>
      <c r="H241" s="25"/>
      <c r="I241" s="26"/>
      <c r="J241" s="26"/>
      <c r="K241" s="26"/>
      <c r="L241" s="26"/>
      <c r="M241" s="26"/>
      <c r="N241" s="26"/>
      <c r="O241" s="26"/>
      <c r="P241" s="26"/>
      <c r="Q241" s="26"/>
      <c r="R241" s="27"/>
    </row>
    <row r="242" spans="2:18" x14ac:dyDescent="0.25">
      <c r="B242" s="32"/>
      <c r="C242" s="26"/>
      <c r="D242" s="26"/>
      <c r="E242" s="26"/>
      <c r="F242" s="26"/>
      <c r="G242" s="26"/>
      <c r="H242" s="25"/>
      <c r="I242" s="26"/>
      <c r="J242" s="26"/>
      <c r="K242" s="26"/>
      <c r="L242" s="26"/>
      <c r="M242" s="26"/>
      <c r="N242" s="26"/>
      <c r="O242" s="26"/>
      <c r="P242" s="26"/>
      <c r="Q242" s="26"/>
      <c r="R242" s="27"/>
    </row>
    <row r="243" spans="2:18" x14ac:dyDescent="0.25">
      <c r="B243" s="32"/>
      <c r="C243" s="26"/>
      <c r="D243" s="26"/>
      <c r="E243" s="26"/>
      <c r="F243" s="26"/>
      <c r="G243" s="26"/>
      <c r="H243" s="25"/>
      <c r="I243" s="26"/>
      <c r="J243" s="26"/>
      <c r="K243" s="26"/>
      <c r="L243" s="26"/>
      <c r="M243" s="26"/>
      <c r="N243" s="26"/>
      <c r="O243" s="26"/>
      <c r="P243" s="26"/>
      <c r="Q243" s="26"/>
      <c r="R243" s="27"/>
    </row>
    <row r="244" spans="2:18" x14ac:dyDescent="0.25">
      <c r="B244" s="32"/>
      <c r="C244" s="26"/>
      <c r="D244" s="26"/>
      <c r="E244" s="26"/>
      <c r="F244" s="26"/>
      <c r="G244" s="26"/>
      <c r="H244" s="25"/>
      <c r="I244" s="26"/>
      <c r="J244" s="26"/>
      <c r="K244" s="26"/>
      <c r="L244" s="26"/>
      <c r="M244" s="26"/>
      <c r="N244" s="26"/>
      <c r="O244" s="26"/>
      <c r="P244" s="26"/>
      <c r="Q244" s="26"/>
      <c r="R244" s="27"/>
    </row>
    <row r="245" spans="2:18" x14ac:dyDescent="0.25">
      <c r="B245" s="32"/>
      <c r="C245" s="26"/>
      <c r="D245" s="26"/>
      <c r="E245" s="26"/>
      <c r="F245" s="26"/>
      <c r="G245" s="26"/>
      <c r="H245" s="25"/>
      <c r="I245" s="26"/>
      <c r="J245" s="26"/>
      <c r="K245" s="26"/>
      <c r="L245" s="26"/>
      <c r="M245" s="26"/>
      <c r="N245" s="26"/>
      <c r="O245" s="26"/>
      <c r="P245" s="26"/>
      <c r="Q245" s="26"/>
      <c r="R245" s="27"/>
    </row>
    <row r="246" spans="2:18" x14ac:dyDescent="0.25">
      <c r="B246" s="32"/>
      <c r="C246" s="26"/>
      <c r="D246" s="26"/>
      <c r="E246" s="26"/>
      <c r="F246" s="26"/>
      <c r="G246" s="26"/>
      <c r="H246" s="25"/>
      <c r="I246" s="26"/>
      <c r="J246" s="26"/>
      <c r="K246" s="26"/>
      <c r="L246" s="26"/>
      <c r="M246" s="26"/>
      <c r="N246" s="26"/>
      <c r="O246" s="26"/>
      <c r="P246" s="26"/>
      <c r="Q246" s="26"/>
      <c r="R246" s="27"/>
    </row>
    <row r="247" spans="2:18" x14ac:dyDescent="0.25">
      <c r="B247" s="32"/>
      <c r="C247" s="26"/>
      <c r="D247" s="26"/>
      <c r="E247" s="26"/>
      <c r="F247" s="26"/>
      <c r="G247" s="26"/>
      <c r="H247" s="25"/>
      <c r="I247" s="26"/>
      <c r="J247" s="26"/>
      <c r="K247" s="26"/>
      <c r="L247" s="26"/>
      <c r="M247" s="26"/>
      <c r="N247" s="26"/>
      <c r="O247" s="26"/>
      <c r="P247" s="26"/>
      <c r="Q247" s="26"/>
      <c r="R247" s="27"/>
    </row>
    <row r="248" spans="2:18" x14ac:dyDescent="0.25">
      <c r="B248" s="32"/>
      <c r="C248" s="26"/>
      <c r="D248" s="26"/>
      <c r="E248" s="26"/>
      <c r="F248" s="26"/>
      <c r="G248" s="26"/>
      <c r="H248" s="25"/>
      <c r="I248" s="26"/>
      <c r="J248" s="26"/>
      <c r="K248" s="26"/>
      <c r="L248" s="26"/>
      <c r="M248" s="26"/>
      <c r="N248" s="26"/>
      <c r="O248" s="26"/>
      <c r="P248" s="26"/>
      <c r="Q248" s="26"/>
      <c r="R248" s="27"/>
    </row>
    <row r="249" spans="2:18" x14ac:dyDescent="0.25">
      <c r="B249" s="32"/>
      <c r="C249" s="26"/>
      <c r="D249" s="26"/>
      <c r="E249" s="26"/>
      <c r="F249" s="26"/>
      <c r="G249" s="26"/>
      <c r="H249" s="25"/>
      <c r="I249" s="26"/>
      <c r="J249" s="26"/>
      <c r="K249" s="26"/>
      <c r="L249" s="26"/>
      <c r="M249" s="26"/>
      <c r="N249" s="26"/>
      <c r="O249" s="26"/>
      <c r="P249" s="26"/>
      <c r="Q249" s="26"/>
      <c r="R249" s="27"/>
    </row>
    <row r="250" spans="2:18" x14ac:dyDescent="0.25">
      <c r="B250" s="32"/>
      <c r="C250" s="26"/>
      <c r="D250" s="26"/>
      <c r="E250" s="26"/>
      <c r="F250" s="26"/>
      <c r="G250" s="26"/>
      <c r="H250" s="25"/>
      <c r="I250" s="26"/>
      <c r="J250" s="26"/>
      <c r="K250" s="26"/>
      <c r="L250" s="26"/>
      <c r="M250" s="26"/>
      <c r="N250" s="26"/>
      <c r="O250" s="26"/>
      <c r="P250" s="26"/>
      <c r="Q250" s="26"/>
      <c r="R250" s="27"/>
    </row>
    <row r="251" spans="2:18" x14ac:dyDescent="0.25">
      <c r="B251" s="32"/>
      <c r="C251" s="26"/>
      <c r="D251" s="26"/>
      <c r="E251" s="26"/>
      <c r="F251" s="26"/>
      <c r="G251" s="26"/>
      <c r="H251" s="25"/>
      <c r="I251" s="26"/>
      <c r="J251" s="26"/>
      <c r="K251" s="26"/>
      <c r="L251" s="26"/>
      <c r="M251" s="26"/>
      <c r="N251" s="26"/>
      <c r="O251" s="26"/>
      <c r="P251" s="26"/>
      <c r="Q251" s="26"/>
      <c r="R251" s="27"/>
    </row>
    <row r="252" spans="2:18" x14ac:dyDescent="0.25">
      <c r="B252" s="32"/>
      <c r="C252" s="26"/>
      <c r="D252" s="26"/>
      <c r="E252" s="26"/>
      <c r="F252" s="26"/>
      <c r="G252" s="26"/>
      <c r="H252" s="25"/>
      <c r="I252" s="26"/>
      <c r="J252" s="26"/>
      <c r="K252" s="26"/>
      <c r="L252" s="26"/>
      <c r="M252" s="26"/>
      <c r="N252" s="26"/>
      <c r="O252" s="26"/>
      <c r="P252" s="26"/>
      <c r="Q252" s="26"/>
      <c r="R252" s="27"/>
    </row>
    <row r="253" spans="2:18" x14ac:dyDescent="0.25">
      <c r="B253" s="32"/>
      <c r="C253" s="26"/>
      <c r="D253" s="26"/>
      <c r="E253" s="26"/>
      <c r="F253" s="26"/>
      <c r="G253" s="26"/>
      <c r="H253" s="25"/>
      <c r="I253" s="26"/>
      <c r="J253" s="26"/>
      <c r="K253" s="26"/>
      <c r="L253" s="26"/>
      <c r="M253" s="26"/>
      <c r="N253" s="26"/>
      <c r="O253" s="26"/>
      <c r="P253" s="26"/>
      <c r="Q253" s="26"/>
      <c r="R253" s="27"/>
    </row>
    <row r="254" spans="2:18" x14ac:dyDescent="0.25">
      <c r="B254" s="32"/>
      <c r="C254" s="26"/>
      <c r="D254" s="26"/>
      <c r="E254" s="26"/>
      <c r="F254" s="26"/>
      <c r="G254" s="26"/>
      <c r="H254" s="25"/>
      <c r="I254" s="26"/>
      <c r="J254" s="26"/>
      <c r="K254" s="26"/>
      <c r="L254" s="26"/>
      <c r="M254" s="26"/>
      <c r="N254" s="26"/>
      <c r="O254" s="26"/>
      <c r="P254" s="26"/>
      <c r="Q254" s="26"/>
      <c r="R254" s="27"/>
    </row>
    <row r="255" spans="2:18" x14ac:dyDescent="0.25">
      <c r="B255" s="32"/>
      <c r="C255" s="26"/>
      <c r="D255" s="26"/>
      <c r="E255" s="26"/>
      <c r="F255" s="26"/>
      <c r="G255" s="26"/>
      <c r="H255" s="25"/>
      <c r="I255" s="26"/>
      <c r="J255" s="26"/>
      <c r="K255" s="26"/>
      <c r="L255" s="26"/>
      <c r="M255" s="26"/>
      <c r="N255" s="26"/>
      <c r="O255" s="26"/>
      <c r="P255" s="26"/>
      <c r="Q255" s="26"/>
      <c r="R255" s="27"/>
    </row>
    <row r="256" spans="2:18" x14ac:dyDescent="0.25">
      <c r="B256" s="32"/>
      <c r="C256" s="26"/>
      <c r="D256" s="26"/>
      <c r="E256" s="26"/>
      <c r="F256" s="26"/>
      <c r="G256" s="26"/>
      <c r="H256" s="25"/>
      <c r="I256" s="26"/>
      <c r="J256" s="26"/>
      <c r="K256" s="26"/>
      <c r="L256" s="26"/>
      <c r="M256" s="26"/>
      <c r="N256" s="26"/>
      <c r="O256" s="26"/>
      <c r="P256" s="26"/>
      <c r="Q256" s="26"/>
      <c r="R256" s="27"/>
    </row>
    <row r="257" spans="2:18" x14ac:dyDescent="0.25">
      <c r="B257" s="32"/>
      <c r="C257" s="26"/>
      <c r="D257" s="26"/>
      <c r="E257" s="26"/>
      <c r="F257" s="26"/>
      <c r="G257" s="26"/>
      <c r="H257" s="25"/>
      <c r="I257" s="26"/>
      <c r="J257" s="26"/>
      <c r="K257" s="26"/>
      <c r="L257" s="26"/>
      <c r="M257" s="26"/>
      <c r="N257" s="26"/>
      <c r="O257" s="26"/>
      <c r="P257" s="26"/>
      <c r="Q257" s="26"/>
      <c r="R257" s="27"/>
    </row>
    <row r="258" spans="2:18" x14ac:dyDescent="0.25">
      <c r="B258" s="32"/>
      <c r="C258" s="26"/>
      <c r="D258" s="26"/>
      <c r="E258" s="26"/>
      <c r="F258" s="26"/>
      <c r="G258" s="26"/>
      <c r="H258" s="25"/>
      <c r="I258" s="26"/>
      <c r="J258" s="26"/>
      <c r="K258" s="26"/>
      <c r="L258" s="26"/>
      <c r="M258" s="26"/>
      <c r="N258" s="26"/>
      <c r="O258" s="26"/>
      <c r="P258" s="26"/>
      <c r="Q258" s="26"/>
      <c r="R258" s="27"/>
    </row>
    <row r="259" spans="2:18" x14ac:dyDescent="0.25">
      <c r="B259" s="32"/>
      <c r="C259" s="26"/>
      <c r="D259" s="26"/>
      <c r="E259" s="26"/>
      <c r="F259" s="26"/>
      <c r="G259" s="26"/>
      <c r="H259" s="25"/>
      <c r="I259" s="26"/>
      <c r="J259" s="26"/>
      <c r="K259" s="26"/>
      <c r="L259" s="26"/>
      <c r="M259" s="26"/>
      <c r="N259" s="26"/>
      <c r="O259" s="26"/>
      <c r="P259" s="26"/>
      <c r="Q259" s="26"/>
      <c r="R259" s="27"/>
    </row>
    <row r="260" spans="2:18" x14ac:dyDescent="0.25">
      <c r="B260" s="32"/>
      <c r="C260" s="26"/>
      <c r="D260" s="26"/>
      <c r="E260" s="26"/>
      <c r="F260" s="26"/>
      <c r="G260" s="26"/>
      <c r="H260" s="25"/>
      <c r="I260" s="26"/>
      <c r="J260" s="26"/>
      <c r="K260" s="26"/>
      <c r="L260" s="26"/>
      <c r="M260" s="26"/>
      <c r="N260" s="26"/>
      <c r="O260" s="26"/>
      <c r="P260" s="26"/>
      <c r="Q260" s="26"/>
      <c r="R260" s="27"/>
    </row>
    <row r="261" spans="2:18" x14ac:dyDescent="0.25">
      <c r="B261" s="32"/>
      <c r="C261" s="26"/>
      <c r="D261" s="26"/>
      <c r="E261" s="26"/>
      <c r="F261" s="26"/>
      <c r="G261" s="26"/>
      <c r="H261" s="25"/>
      <c r="I261" s="26"/>
      <c r="J261" s="26"/>
      <c r="K261" s="26"/>
      <c r="L261" s="26"/>
      <c r="M261" s="26"/>
      <c r="N261" s="26"/>
      <c r="O261" s="26"/>
      <c r="P261" s="26"/>
      <c r="Q261" s="26"/>
      <c r="R261" s="27"/>
    </row>
    <row r="262" spans="2:18" x14ac:dyDescent="0.25">
      <c r="B262" s="32"/>
      <c r="C262" s="26"/>
      <c r="D262" s="26"/>
      <c r="E262" s="26"/>
      <c r="F262" s="26"/>
      <c r="G262" s="26"/>
      <c r="H262" s="25"/>
      <c r="I262" s="26"/>
      <c r="J262" s="26"/>
      <c r="K262" s="26"/>
      <c r="L262" s="26"/>
      <c r="M262" s="26"/>
      <c r="N262" s="26"/>
      <c r="O262" s="26"/>
      <c r="P262" s="26"/>
      <c r="Q262" s="26"/>
      <c r="R262" s="27"/>
    </row>
    <row r="263" spans="2:18" x14ac:dyDescent="0.25">
      <c r="B263" s="32"/>
      <c r="C263" s="26"/>
      <c r="D263" s="26"/>
      <c r="E263" s="26"/>
      <c r="F263" s="26"/>
      <c r="G263" s="26"/>
      <c r="H263" s="25"/>
      <c r="I263" s="26"/>
      <c r="J263" s="26"/>
      <c r="K263" s="26"/>
      <c r="L263" s="26"/>
      <c r="M263" s="26"/>
      <c r="N263" s="26"/>
      <c r="O263" s="26"/>
      <c r="P263" s="26"/>
      <c r="Q263" s="26"/>
      <c r="R263" s="27"/>
    </row>
    <row r="264" spans="2:18" x14ac:dyDescent="0.25">
      <c r="B264" s="32"/>
      <c r="C264" s="26"/>
      <c r="D264" s="26"/>
      <c r="E264" s="26"/>
      <c r="F264" s="26"/>
      <c r="G264" s="26"/>
      <c r="H264" s="25"/>
      <c r="I264" s="26"/>
      <c r="J264" s="26"/>
      <c r="K264" s="26"/>
      <c r="L264" s="26"/>
      <c r="M264" s="26"/>
      <c r="N264" s="26"/>
      <c r="O264" s="26"/>
      <c r="P264" s="26"/>
      <c r="Q264" s="26"/>
      <c r="R264" s="27"/>
    </row>
    <row r="265" spans="2:18" x14ac:dyDescent="0.25">
      <c r="B265" s="32"/>
      <c r="C265" s="26"/>
      <c r="D265" s="26"/>
      <c r="E265" s="26"/>
      <c r="F265" s="26"/>
      <c r="G265" s="26"/>
      <c r="H265" s="25"/>
      <c r="I265" s="26"/>
      <c r="J265" s="26"/>
      <c r="K265" s="26"/>
      <c r="L265" s="26"/>
      <c r="M265" s="26"/>
      <c r="N265" s="26"/>
      <c r="O265" s="26"/>
      <c r="P265" s="26"/>
      <c r="Q265" s="26"/>
      <c r="R265" s="27"/>
    </row>
    <row r="266" spans="2:18" x14ac:dyDescent="0.25">
      <c r="B266" s="32"/>
      <c r="C266" s="26"/>
      <c r="D266" s="26"/>
      <c r="E266" s="26"/>
      <c r="F266" s="26"/>
      <c r="G266" s="26"/>
      <c r="H266" s="25"/>
      <c r="I266" s="26"/>
      <c r="J266" s="26"/>
      <c r="K266" s="26"/>
      <c r="L266" s="26"/>
      <c r="M266" s="26"/>
      <c r="N266" s="26"/>
      <c r="O266" s="26"/>
      <c r="P266" s="26"/>
      <c r="Q266" s="26"/>
      <c r="R266" s="27"/>
    </row>
    <row r="267" spans="2:18" x14ac:dyDescent="0.25">
      <c r="B267" s="32"/>
      <c r="C267" s="26"/>
      <c r="D267" s="26"/>
      <c r="E267" s="26"/>
      <c r="F267" s="26"/>
      <c r="G267" s="26"/>
      <c r="H267" s="25"/>
      <c r="I267" s="26"/>
      <c r="J267" s="26"/>
      <c r="K267" s="26"/>
      <c r="L267" s="26"/>
      <c r="M267" s="26"/>
      <c r="N267" s="26"/>
      <c r="O267" s="26"/>
      <c r="P267" s="26"/>
      <c r="Q267" s="26"/>
      <c r="R267" s="27"/>
    </row>
    <row r="268" spans="2:18" x14ac:dyDescent="0.25">
      <c r="B268" s="32"/>
      <c r="C268" s="26"/>
      <c r="D268" s="26"/>
      <c r="E268" s="26"/>
      <c r="F268" s="26"/>
      <c r="G268" s="26"/>
      <c r="H268" s="25"/>
      <c r="I268" s="26"/>
      <c r="J268" s="26"/>
      <c r="K268" s="26"/>
      <c r="L268" s="26"/>
      <c r="M268" s="26"/>
      <c r="N268" s="26"/>
      <c r="O268" s="26"/>
      <c r="P268" s="26"/>
      <c r="Q268" s="26"/>
      <c r="R268" s="27"/>
    </row>
    <row r="269" spans="2:18" x14ac:dyDescent="0.25">
      <c r="B269" s="32"/>
      <c r="C269" s="26"/>
      <c r="D269" s="26"/>
      <c r="E269" s="26"/>
      <c r="F269" s="26"/>
      <c r="G269" s="26"/>
      <c r="H269" s="25"/>
      <c r="I269" s="26"/>
      <c r="J269" s="26"/>
      <c r="K269" s="26"/>
      <c r="L269" s="26"/>
      <c r="M269" s="26"/>
      <c r="N269" s="26"/>
      <c r="O269" s="26"/>
      <c r="P269" s="26"/>
      <c r="Q269" s="26"/>
      <c r="R269" s="27"/>
    </row>
    <row r="270" spans="2:18" x14ac:dyDescent="0.25">
      <c r="B270" s="32"/>
      <c r="C270" s="26"/>
      <c r="D270" s="26"/>
      <c r="E270" s="26"/>
      <c r="F270" s="26"/>
      <c r="G270" s="26"/>
      <c r="H270" s="25"/>
      <c r="I270" s="26"/>
      <c r="J270" s="26"/>
      <c r="K270" s="26"/>
      <c r="L270" s="26"/>
      <c r="M270" s="26"/>
      <c r="N270" s="26"/>
      <c r="O270" s="26"/>
      <c r="P270" s="26"/>
      <c r="Q270" s="26"/>
      <c r="R270" s="27"/>
    </row>
    <row r="271" spans="2:18" ht="16.5" thickBot="1" x14ac:dyDescent="0.3">
      <c r="B271" s="171"/>
      <c r="C271" s="28"/>
      <c r="D271" s="29"/>
      <c r="E271" s="30"/>
      <c r="F271" s="30"/>
      <c r="G271" s="30"/>
      <c r="H271" s="30"/>
      <c r="I271" s="30"/>
      <c r="J271" s="30"/>
      <c r="K271" s="30"/>
      <c r="L271" s="30"/>
      <c r="M271" s="30"/>
      <c r="N271" s="30"/>
      <c r="O271" s="30"/>
      <c r="P271" s="30"/>
      <c r="Q271" s="30"/>
      <c r="R271" s="31"/>
    </row>
    <row r="272" spans="2:18" x14ac:dyDescent="0.25">
      <c r="B272" s="131"/>
      <c r="C272" s="10"/>
      <c r="D272" s="9"/>
      <c r="E272" s="8"/>
      <c r="G272" s="9"/>
    </row>
    <row r="274" spans="2:48" ht="16.5" thickBot="1" x14ac:dyDescent="0.3">
      <c r="B274" s="131"/>
      <c r="C274" s="10"/>
      <c r="D274" s="9"/>
      <c r="E274" s="8"/>
      <c r="G274" s="9"/>
    </row>
    <row r="275" spans="2:48" s="3" customFormat="1" ht="19.5" thickBot="1" x14ac:dyDescent="0.35">
      <c r="B275" s="1"/>
      <c r="C275" s="302" t="str">
        <f>Modelo!F21</f>
        <v>Balance y resultados previstos</v>
      </c>
    </row>
    <row r="276" spans="2:48" s="3" customFormat="1" ht="15" x14ac:dyDescent="0.25"/>
    <row r="277" spans="2:48" s="3" customFormat="1" ht="15" x14ac:dyDescent="0.25"/>
    <row r="278" spans="2:48" s="3" customFormat="1" ht="15" x14ac:dyDescent="0.25"/>
    <row r="279" spans="2:48" x14ac:dyDescent="0.25">
      <c r="B279" s="131"/>
      <c r="C279" s="10"/>
      <c r="D279" s="9"/>
      <c r="E279" s="8"/>
      <c r="G279" s="9"/>
    </row>
    <row r="280" spans="2:48" x14ac:dyDescent="0.25">
      <c r="B280" s="131"/>
      <c r="C280" s="10"/>
      <c r="D280" s="9"/>
      <c r="E280" s="8"/>
      <c r="G280" s="9"/>
    </row>
    <row r="281" spans="2:48" x14ac:dyDescent="0.25">
      <c r="B281" s="131"/>
      <c r="C281" s="10"/>
      <c r="D281" s="9"/>
      <c r="E281" s="8"/>
      <c r="G281" s="9"/>
    </row>
    <row r="282" spans="2:48" x14ac:dyDescent="0.25">
      <c r="B282" s="131"/>
      <c r="C282" s="10"/>
      <c r="D282" s="9"/>
      <c r="E282" s="8"/>
      <c r="G282" s="9"/>
    </row>
    <row r="283" spans="2:48" x14ac:dyDescent="0.25">
      <c r="B283" s="131"/>
      <c r="C283" s="10"/>
      <c r="D283" s="9"/>
      <c r="E283" s="8"/>
      <c r="G283" s="9"/>
    </row>
    <row r="284" spans="2:48" x14ac:dyDescent="0.25">
      <c r="B284" s="131"/>
      <c r="C284" s="10"/>
      <c r="D284" s="9"/>
      <c r="E284" s="8"/>
      <c r="G284" s="9"/>
    </row>
    <row r="285" spans="2:48" ht="16.5" thickBot="1" x14ac:dyDescent="0.3">
      <c r="B285" s="10"/>
      <c r="C285" s="10"/>
      <c r="D285" s="9"/>
      <c r="E285" s="8"/>
      <c r="G285" s="9"/>
    </row>
    <row r="286" spans="2:48" s="14" customFormat="1" ht="15" x14ac:dyDescent="0.25">
      <c r="B286" s="417"/>
      <c r="C286" s="22"/>
      <c r="D286" s="418"/>
      <c r="E286" s="22"/>
      <c r="F286" s="419"/>
      <c r="G286" s="420"/>
      <c r="H286" s="419"/>
      <c r="I286" s="419"/>
      <c r="J286" s="419"/>
      <c r="K286" s="419"/>
      <c r="L286" s="419"/>
      <c r="M286" s="419"/>
      <c r="N286" s="419"/>
      <c r="O286" s="419"/>
      <c r="P286" s="421"/>
      <c r="Q286" s="421"/>
      <c r="R286" s="421"/>
      <c r="S286" s="421"/>
      <c r="T286" s="22"/>
      <c r="U286" s="421"/>
      <c r="V286" s="421"/>
      <c r="W286" s="421"/>
      <c r="X286" s="421"/>
      <c r="Y286" s="129">
        <v>1</v>
      </c>
      <c r="Z286" s="129">
        <v>2</v>
      </c>
      <c r="AA286" s="129">
        <v>3</v>
      </c>
      <c r="AB286" s="129">
        <v>4</v>
      </c>
      <c r="AC286" s="129">
        <v>5</v>
      </c>
      <c r="AD286" s="129">
        <v>6</v>
      </c>
      <c r="AE286" s="129">
        <v>7</v>
      </c>
      <c r="AF286" s="129">
        <v>8</v>
      </c>
      <c r="AG286" s="129">
        <v>9</v>
      </c>
      <c r="AH286" s="26">
        <v>10</v>
      </c>
      <c r="AI286" s="26">
        <v>11</v>
      </c>
      <c r="AJ286" s="26">
        <v>12</v>
      </c>
      <c r="AK286" s="26">
        <v>13</v>
      </c>
      <c r="AL286" s="26">
        <v>14</v>
      </c>
      <c r="AM286" s="26">
        <v>15</v>
      </c>
      <c r="AN286" s="26">
        <v>16</v>
      </c>
      <c r="AO286" s="421"/>
      <c r="AP286" s="421"/>
      <c r="AQ286" s="421"/>
      <c r="AR286" s="421"/>
      <c r="AS286" s="421"/>
      <c r="AT286" s="421"/>
      <c r="AU286" s="421"/>
      <c r="AV286" s="422"/>
    </row>
    <row r="287" spans="2:48" x14ac:dyDescent="0.25">
      <c r="B287" s="91"/>
      <c r="C287" s="344" t="s">
        <v>137</v>
      </c>
      <c r="D287" s="432" t="s">
        <v>227</v>
      </c>
      <c r="E287" s="26" t="s">
        <v>214</v>
      </c>
      <c r="F287" s="26"/>
      <c r="G287" s="26"/>
      <c r="H287" s="90"/>
      <c r="I287" s="90"/>
      <c r="J287" s="90"/>
      <c r="K287" s="90"/>
      <c r="L287" s="90"/>
      <c r="M287" s="141" t="s">
        <v>215</v>
      </c>
      <c r="N287" s="141" t="s">
        <v>195</v>
      </c>
      <c r="O287" s="141" t="s">
        <v>216</v>
      </c>
      <c r="P287" s="90"/>
      <c r="Q287" s="90"/>
      <c r="R287" s="90"/>
      <c r="S287" s="26"/>
      <c r="T287" s="16" t="s">
        <v>225</v>
      </c>
      <c r="U287" s="16" t="s">
        <v>226</v>
      </c>
      <c r="V287" s="16" t="s">
        <v>227</v>
      </c>
      <c r="W287" s="16" t="s">
        <v>194</v>
      </c>
      <c r="X287" s="26"/>
      <c r="Y287" s="2" t="s">
        <v>215</v>
      </c>
      <c r="Z287" s="2" t="s">
        <v>215</v>
      </c>
      <c r="AA287" s="2" t="s">
        <v>215</v>
      </c>
      <c r="AB287" s="2" t="s">
        <v>195</v>
      </c>
      <c r="AC287" s="2" t="s">
        <v>195</v>
      </c>
      <c r="AD287" s="2" t="s">
        <v>195</v>
      </c>
      <c r="AE287" s="2" t="s">
        <v>216</v>
      </c>
      <c r="AF287" s="2" t="s">
        <v>216</v>
      </c>
      <c r="AG287" s="2" t="s">
        <v>216</v>
      </c>
      <c r="AH287" s="16" t="s">
        <v>194</v>
      </c>
      <c r="AI287" s="16" t="s">
        <v>194</v>
      </c>
      <c r="AJ287" s="16" t="s">
        <v>194</v>
      </c>
      <c r="AK287" s="16" t="s">
        <v>215</v>
      </c>
      <c r="AL287" s="16" t="s">
        <v>195</v>
      </c>
      <c r="AM287" s="16" t="s">
        <v>216</v>
      </c>
      <c r="AN287" s="16" t="s">
        <v>194</v>
      </c>
      <c r="AO287" s="26"/>
      <c r="AP287" s="26"/>
      <c r="AQ287" s="26"/>
      <c r="AR287" s="26"/>
      <c r="AS287" s="26"/>
      <c r="AT287" s="26"/>
      <c r="AU287" s="26"/>
      <c r="AV287" s="27"/>
    </row>
    <row r="288" spans="2:48" x14ac:dyDescent="0.25">
      <c r="B288" s="91"/>
      <c r="C288" s="433" t="s">
        <v>217</v>
      </c>
      <c r="D288" s="434" t="s">
        <v>228</v>
      </c>
      <c r="E288" s="26" t="s">
        <v>213</v>
      </c>
      <c r="F288" s="26"/>
      <c r="G288" s="26"/>
      <c r="H288" s="90"/>
      <c r="I288" s="90"/>
      <c r="J288" s="90"/>
      <c r="K288" s="654" t="s">
        <v>217</v>
      </c>
      <c r="L288" s="42" t="s">
        <v>211</v>
      </c>
      <c r="M288" s="136" t="s">
        <v>220</v>
      </c>
      <c r="N288" s="137" t="s">
        <v>219</v>
      </c>
      <c r="O288" s="138" t="s">
        <v>222</v>
      </c>
      <c r="P288" s="90"/>
      <c r="Q288" s="245" t="str">
        <f>MID(D287,1,1)&amp;MID(D288,1,1)</f>
        <v>3A</v>
      </c>
      <c r="R288" s="90"/>
      <c r="S288" s="26"/>
      <c r="T288" s="16" t="s">
        <v>228</v>
      </c>
      <c r="U288" s="16" t="s">
        <v>229</v>
      </c>
      <c r="V288" s="16" t="s">
        <v>230</v>
      </c>
      <c r="W288" s="16" t="s">
        <v>194</v>
      </c>
      <c r="X288" s="26"/>
      <c r="Y288" s="2" t="s">
        <v>211</v>
      </c>
      <c r="Z288" s="2" t="s">
        <v>212</v>
      </c>
      <c r="AA288" s="2" t="s">
        <v>210</v>
      </c>
      <c r="AB288" s="2" t="s">
        <v>211</v>
      </c>
      <c r="AC288" s="2" t="s">
        <v>212</v>
      </c>
      <c r="AD288" s="2" t="s">
        <v>210</v>
      </c>
      <c r="AE288" s="2" t="s">
        <v>211</v>
      </c>
      <c r="AF288" s="2" t="s">
        <v>212</v>
      </c>
      <c r="AG288" s="2" t="s">
        <v>210</v>
      </c>
      <c r="AH288" s="2" t="s">
        <v>211</v>
      </c>
      <c r="AI288" s="2" t="s">
        <v>212</v>
      </c>
      <c r="AJ288" s="2" t="s">
        <v>210</v>
      </c>
      <c r="AK288" s="16" t="s">
        <v>194</v>
      </c>
      <c r="AL288" s="16" t="s">
        <v>194</v>
      </c>
      <c r="AM288" s="16" t="s">
        <v>194</v>
      </c>
      <c r="AN288" s="16" t="s">
        <v>194</v>
      </c>
      <c r="AO288" s="26"/>
      <c r="AP288" s="26"/>
      <c r="AQ288" s="26"/>
      <c r="AR288" s="26"/>
      <c r="AS288" s="26"/>
      <c r="AT288" s="26"/>
      <c r="AU288" s="26"/>
      <c r="AV288" s="27"/>
    </row>
    <row r="289" spans="1:48" x14ac:dyDescent="0.25">
      <c r="B289" s="91"/>
      <c r="C289" s="346" t="s">
        <v>224</v>
      </c>
      <c r="D289" s="435" t="str">
        <f ca="1">LOOKUP(MATCH(Q288,Y290:AN290,0),Y286:AN289,Y289:AN289)</f>
        <v>Neutro</v>
      </c>
      <c r="E289" s="26" t="s">
        <v>243</v>
      </c>
      <c r="F289" s="26"/>
      <c r="G289" s="26"/>
      <c r="H289" s="90"/>
      <c r="I289" s="90"/>
      <c r="J289" s="90"/>
      <c r="K289" s="654"/>
      <c r="L289" s="42" t="s">
        <v>212</v>
      </c>
      <c r="M289" s="137" t="s">
        <v>219</v>
      </c>
      <c r="N289" s="138" t="s">
        <v>222</v>
      </c>
      <c r="O289" s="139" t="s">
        <v>223</v>
      </c>
      <c r="P289" s="90"/>
      <c r="Q289" s="90"/>
      <c r="R289" s="90"/>
      <c r="S289" s="26"/>
      <c r="T289" s="26"/>
      <c r="U289" s="26"/>
      <c r="V289" s="26"/>
      <c r="W289" s="26"/>
      <c r="X289" s="26"/>
      <c r="Y289" s="129" t="str">
        <f>M288</f>
        <v>Muy Positivo</v>
      </c>
      <c r="Z289" s="129" t="str">
        <f>M289</f>
        <v>Positivo</v>
      </c>
      <c r="AA289" s="129" t="str">
        <f>M290</f>
        <v>Neutro</v>
      </c>
      <c r="AB289" s="129" t="str">
        <f>N288</f>
        <v>Positivo</v>
      </c>
      <c r="AC289" s="129" t="str">
        <f>N289</f>
        <v>Neutro</v>
      </c>
      <c r="AD289" s="129" t="str">
        <f>N290</f>
        <v>Negativo</v>
      </c>
      <c r="AE289" s="129" t="str">
        <f>O288</f>
        <v>Neutro</v>
      </c>
      <c r="AF289" s="129" t="str">
        <f>O289</f>
        <v>Negativo</v>
      </c>
      <c r="AG289" s="129" t="str">
        <f>O290</f>
        <v>Muy negativo</v>
      </c>
      <c r="AH289" s="16" t="s">
        <v>194</v>
      </c>
      <c r="AI289" s="16" t="s">
        <v>194</v>
      </c>
      <c r="AJ289" s="16" t="s">
        <v>194</v>
      </c>
      <c r="AK289" s="16" t="s">
        <v>194</v>
      </c>
      <c r="AL289" s="16" t="s">
        <v>194</v>
      </c>
      <c r="AM289" s="16" t="s">
        <v>194</v>
      </c>
      <c r="AN289" s="16" t="s">
        <v>194</v>
      </c>
      <c r="AO289" s="26"/>
      <c r="AP289" s="26"/>
      <c r="AQ289" s="26"/>
      <c r="AR289" s="26"/>
      <c r="AS289" s="26"/>
      <c r="AT289" s="26"/>
      <c r="AU289" s="26"/>
      <c r="AV289" s="27"/>
    </row>
    <row r="290" spans="1:48" ht="15" x14ac:dyDescent="0.25">
      <c r="B290" s="91"/>
      <c r="C290" s="26"/>
      <c r="D290" s="57"/>
      <c r="E290" s="26"/>
      <c r="F290" s="26"/>
      <c r="G290" s="26"/>
      <c r="H290" s="90"/>
      <c r="I290" s="90"/>
      <c r="J290" s="90"/>
      <c r="K290" s="654"/>
      <c r="L290" s="42" t="s">
        <v>218</v>
      </c>
      <c r="M290" s="138" t="s">
        <v>222</v>
      </c>
      <c r="N290" s="139" t="s">
        <v>223</v>
      </c>
      <c r="O290" s="140" t="s">
        <v>221</v>
      </c>
      <c r="P290" s="90"/>
      <c r="Q290" s="90"/>
      <c r="R290" s="90"/>
      <c r="S290" s="26"/>
      <c r="T290" s="26"/>
      <c r="U290" s="26"/>
      <c r="V290" s="26"/>
      <c r="W290" s="26"/>
      <c r="X290" s="26"/>
      <c r="Y290" s="129" t="s">
        <v>231</v>
      </c>
      <c r="Z290" s="129" t="s">
        <v>232</v>
      </c>
      <c r="AA290" s="129" t="s">
        <v>233</v>
      </c>
      <c r="AB290" s="129" t="s">
        <v>234</v>
      </c>
      <c r="AC290" s="129" t="s">
        <v>235</v>
      </c>
      <c r="AD290" s="129" t="s">
        <v>236</v>
      </c>
      <c r="AE290" s="129" t="s">
        <v>237</v>
      </c>
      <c r="AF290" s="129" t="s">
        <v>238</v>
      </c>
      <c r="AG290" s="129" t="s">
        <v>239</v>
      </c>
      <c r="AH290" s="26" t="s">
        <v>254</v>
      </c>
      <c r="AI290" s="26" t="s">
        <v>255</v>
      </c>
      <c r="AJ290" s="26" t="s">
        <v>256</v>
      </c>
      <c r="AK290" s="26" t="s">
        <v>257</v>
      </c>
      <c r="AL290" s="26" t="s">
        <v>258</v>
      </c>
      <c r="AM290" s="26" t="s">
        <v>259</v>
      </c>
      <c r="AN290" s="26" t="s">
        <v>260</v>
      </c>
      <c r="AO290" s="26"/>
      <c r="AP290" s="26"/>
      <c r="AQ290" s="26"/>
      <c r="AR290" s="26"/>
      <c r="AS290" s="26"/>
      <c r="AT290" s="26"/>
      <c r="AU290" s="26"/>
      <c r="AV290" s="27"/>
    </row>
    <row r="291" spans="1:48" x14ac:dyDescent="0.25">
      <c r="B291" s="91"/>
      <c r="C291" s="436" t="s">
        <v>264</v>
      </c>
      <c r="D291" s="437" t="s">
        <v>240</v>
      </c>
      <c r="E291" s="26" t="s">
        <v>265</v>
      </c>
      <c r="F291" s="26"/>
      <c r="G291" s="26"/>
      <c r="H291" s="90"/>
      <c r="I291" s="90"/>
      <c r="J291" s="90"/>
      <c r="K291" s="90"/>
      <c r="L291" s="90"/>
      <c r="M291" s="90"/>
      <c r="N291" s="90"/>
      <c r="O291" s="90"/>
      <c r="P291" s="90"/>
      <c r="Q291" s="90"/>
      <c r="R291" s="90"/>
      <c r="S291" s="26"/>
      <c r="T291" s="16" t="s">
        <v>240</v>
      </c>
      <c r="U291" s="16" t="s">
        <v>241</v>
      </c>
      <c r="V291" s="16" t="s">
        <v>242</v>
      </c>
      <c r="W291" s="16" t="s">
        <v>194</v>
      </c>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7"/>
    </row>
    <row r="292" spans="1:48" s="14" customFormat="1" ht="13.5" customHeight="1" x14ac:dyDescent="0.25">
      <c r="A292" s="88"/>
      <c r="B292" s="32"/>
      <c r="C292" s="124"/>
      <c r="D292" s="128"/>
      <c r="E292" s="90"/>
      <c r="F292" s="90"/>
      <c r="G292" s="24"/>
      <c r="H292" s="90"/>
      <c r="I292" s="90"/>
      <c r="J292" s="90"/>
      <c r="K292" s="90"/>
      <c r="L292" s="90"/>
      <c r="M292" s="90"/>
      <c r="N292" s="90"/>
      <c r="O292" s="90"/>
      <c r="P292" s="90"/>
      <c r="Q292" s="90"/>
      <c r="R292" s="90"/>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3"/>
    </row>
    <row r="293" spans="1:48" s="14" customFormat="1" ht="13.5" customHeight="1" x14ac:dyDescent="0.25">
      <c r="A293" s="88"/>
      <c r="B293" s="32"/>
      <c r="C293" s="344" t="s">
        <v>742</v>
      </c>
      <c r="D293" s="438">
        <f>IF(AND(ISNUMBER(Sector!J10),ISNUMBER(Sector!I10)),(Sector!J10-Sector!I10)/Sector!I10,"SIN DATOS")</f>
        <v>-0.15067875960119556</v>
      </c>
      <c r="E293" s="26" t="s">
        <v>744</v>
      </c>
      <c r="F293" s="90"/>
      <c r="G293" s="24"/>
      <c r="H293" s="90"/>
      <c r="I293" s="90"/>
      <c r="J293" s="90"/>
      <c r="K293" s="90"/>
      <c r="L293" s="90"/>
      <c r="M293" s="90"/>
      <c r="N293" s="90"/>
      <c r="O293" s="90"/>
      <c r="P293" s="90"/>
      <c r="Q293" s="90"/>
      <c r="R293" s="90"/>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3"/>
    </row>
    <row r="294" spans="1:48" s="14" customFormat="1" ht="13.5" customHeight="1" x14ac:dyDescent="0.25">
      <c r="A294" s="88"/>
      <c r="B294" s="32"/>
      <c r="C294" s="346" t="s">
        <v>743</v>
      </c>
      <c r="D294" s="439">
        <f>IF(AND(ISNUMBER(Sector!J10),ISNUMBER(Sector!B10)),(Sector!J10-Sector!B10)/Sector!B10/8,"SIN DATOS")</f>
        <v>8.9464005763162088E-2</v>
      </c>
      <c r="E294" s="26" t="s">
        <v>744</v>
      </c>
      <c r="F294" s="90"/>
      <c r="G294" s="24"/>
      <c r="H294" s="90"/>
      <c r="I294" s="90"/>
      <c r="J294" s="90"/>
      <c r="K294" s="90"/>
      <c r="L294" s="90"/>
      <c r="M294" s="90"/>
      <c r="N294" s="90"/>
      <c r="O294" s="90"/>
      <c r="P294" s="90"/>
      <c r="Q294" s="90"/>
      <c r="R294" s="90"/>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3"/>
    </row>
    <row r="295" spans="1:48" s="14" customFormat="1" thickBot="1" x14ac:dyDescent="0.3">
      <c r="B295" s="95"/>
      <c r="C295" s="26"/>
      <c r="D295" s="57"/>
      <c r="E295" s="26"/>
      <c r="F295" s="90"/>
      <c r="G295" s="96"/>
      <c r="H295" s="90"/>
      <c r="I295" s="90"/>
      <c r="J295" s="90"/>
      <c r="K295" s="90"/>
      <c r="L295" s="90"/>
      <c r="M295" s="90"/>
      <c r="N295" s="90"/>
      <c r="O295" s="90"/>
      <c r="P295" s="92"/>
      <c r="Q295" s="92"/>
      <c r="R295" s="92"/>
      <c r="S295" s="92"/>
      <c r="T295" s="26"/>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3"/>
    </row>
    <row r="296" spans="1:48" s="14" customFormat="1" thickBot="1" x14ac:dyDescent="0.3">
      <c r="B296" s="95"/>
      <c r="C296" s="26"/>
      <c r="D296" s="448" t="s">
        <v>103</v>
      </c>
      <c r="E296" s="449" t="s">
        <v>104</v>
      </c>
      <c r="F296" s="449" t="s">
        <v>105</v>
      </c>
      <c r="G296" s="450" t="s">
        <v>106</v>
      </c>
      <c r="H296" s="90"/>
      <c r="I296" s="90"/>
      <c r="J296" s="90"/>
      <c r="K296" s="90"/>
      <c r="L296" s="90"/>
      <c r="M296" s="90"/>
      <c r="N296" s="90"/>
      <c r="O296" s="90"/>
      <c r="P296" s="92"/>
      <c r="Q296" s="92"/>
      <c r="R296" s="92"/>
      <c r="S296" s="92"/>
      <c r="T296" s="26"/>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3"/>
    </row>
    <row r="297" spans="1:48" s="14" customFormat="1" x14ac:dyDescent="0.25">
      <c r="A297" s="130"/>
      <c r="B297" s="94"/>
      <c r="C297" s="451" t="s">
        <v>745</v>
      </c>
      <c r="D297" s="452">
        <v>0.03</v>
      </c>
      <c r="E297" s="452">
        <v>0.05</v>
      </c>
      <c r="F297" s="452">
        <v>7.0000000000000007E-2</v>
      </c>
      <c r="G297" s="453">
        <v>0.1</v>
      </c>
      <c r="H297" s="90"/>
      <c r="I297" s="90"/>
      <c r="J297" s="90"/>
      <c r="K297" s="90"/>
      <c r="L297" s="90"/>
      <c r="M297" s="90"/>
      <c r="N297" s="90"/>
      <c r="O297" s="90"/>
      <c r="P297" s="92"/>
      <c r="Q297" s="92"/>
      <c r="R297" s="92"/>
      <c r="S297" s="92"/>
      <c r="T297" s="26"/>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3"/>
    </row>
    <row r="298" spans="1:48" s="14" customFormat="1" x14ac:dyDescent="0.25">
      <c r="A298" s="130"/>
      <c r="B298" s="94"/>
      <c r="C298" s="454" t="s">
        <v>748</v>
      </c>
      <c r="D298" s="447">
        <v>0.05</v>
      </c>
      <c r="E298" s="447">
        <v>0.05</v>
      </c>
      <c r="F298" s="447">
        <v>0.06</v>
      </c>
      <c r="G298" s="455">
        <v>7.0000000000000007E-2</v>
      </c>
      <c r="H298" s="90"/>
      <c r="I298" s="90"/>
      <c r="J298" s="90"/>
      <c r="K298" s="90"/>
      <c r="L298" s="90"/>
      <c r="M298" s="90"/>
      <c r="N298" s="90"/>
      <c r="O298" s="90"/>
      <c r="P298" s="92"/>
      <c r="Q298" s="92"/>
      <c r="R298" s="92"/>
      <c r="S298" s="92"/>
      <c r="T298" s="26"/>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3"/>
    </row>
    <row r="299" spans="1:48" s="14" customFormat="1" x14ac:dyDescent="0.25">
      <c r="A299" s="130"/>
      <c r="B299" s="94"/>
      <c r="C299" s="454" t="s">
        <v>749</v>
      </c>
      <c r="D299" s="447">
        <v>0.03</v>
      </c>
      <c r="E299" s="447">
        <v>0.03</v>
      </c>
      <c r="F299" s="447">
        <v>0.03</v>
      </c>
      <c r="G299" s="455">
        <v>0.03</v>
      </c>
      <c r="H299" s="90"/>
      <c r="I299" s="90"/>
      <c r="J299" s="90"/>
      <c r="K299" s="90"/>
      <c r="L299" s="90"/>
      <c r="M299" s="90"/>
      <c r="N299" s="90"/>
      <c r="O299" s="90"/>
      <c r="P299" s="92"/>
      <c r="Q299" s="92"/>
      <c r="R299" s="92"/>
      <c r="S299" s="92"/>
      <c r="T299" s="26"/>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3"/>
    </row>
    <row r="300" spans="1:48" s="14" customFormat="1" ht="16.5" thickBot="1" x14ac:dyDescent="0.3">
      <c r="A300" s="130"/>
      <c r="B300" s="94"/>
      <c r="C300" s="456" t="s">
        <v>750</v>
      </c>
      <c r="D300" s="457">
        <v>0.04</v>
      </c>
      <c r="E300" s="457">
        <v>0.02</v>
      </c>
      <c r="F300" s="457">
        <v>0.01</v>
      </c>
      <c r="G300" s="373">
        <v>0.01</v>
      </c>
      <c r="H300" s="90"/>
      <c r="I300" s="90"/>
      <c r="J300" s="90"/>
      <c r="K300" s="90"/>
      <c r="L300" s="90"/>
      <c r="M300" s="90"/>
      <c r="N300" s="90"/>
      <c r="O300" s="90"/>
      <c r="P300" s="92"/>
      <c r="Q300" s="92"/>
      <c r="R300" s="92"/>
      <c r="S300" s="92"/>
      <c r="T300" s="26"/>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3"/>
    </row>
    <row r="301" spans="1:48" s="14" customFormat="1" thickBot="1" x14ac:dyDescent="0.3">
      <c r="B301" s="423"/>
      <c r="C301" s="30"/>
      <c r="D301" s="424"/>
      <c r="E301" s="30"/>
      <c r="F301" s="425"/>
      <c r="G301" s="426"/>
      <c r="H301" s="425"/>
      <c r="I301" s="425"/>
      <c r="J301" s="425"/>
      <c r="K301" s="425"/>
      <c r="L301" s="425"/>
      <c r="M301" s="425"/>
      <c r="N301" s="425"/>
      <c r="O301" s="425"/>
      <c r="P301" s="427"/>
      <c r="Q301" s="427"/>
      <c r="R301" s="427"/>
      <c r="S301" s="427"/>
      <c r="T301" s="30"/>
      <c r="U301" s="427"/>
      <c r="V301" s="427"/>
      <c r="W301" s="427"/>
      <c r="X301" s="427"/>
      <c r="Y301" s="427"/>
      <c r="Z301" s="427"/>
      <c r="AA301" s="427"/>
      <c r="AB301" s="427"/>
      <c r="AC301" s="427"/>
      <c r="AD301" s="427"/>
      <c r="AE301" s="427"/>
      <c r="AF301" s="427"/>
      <c r="AG301" s="427"/>
      <c r="AH301" s="427"/>
      <c r="AI301" s="427"/>
      <c r="AJ301" s="427"/>
      <c r="AK301" s="427"/>
      <c r="AL301" s="427"/>
      <c r="AM301" s="427"/>
      <c r="AN301" s="427"/>
      <c r="AO301" s="427"/>
      <c r="AP301" s="427"/>
      <c r="AQ301" s="427"/>
      <c r="AR301" s="427"/>
      <c r="AS301" s="427"/>
      <c r="AT301" s="427"/>
      <c r="AU301" s="427"/>
      <c r="AV301" s="428"/>
    </row>
    <row r="302" spans="1:48" s="8" customFormat="1" ht="15" x14ac:dyDescent="0.25"/>
    <row r="303" spans="1:48" ht="16.5" thickBot="1" x14ac:dyDescent="0.3">
      <c r="B303" s="131"/>
      <c r="C303" s="10"/>
      <c r="D303" s="9"/>
      <c r="E303" s="8"/>
      <c r="G303" s="9"/>
    </row>
    <row r="304" spans="1:48" s="3" customFormat="1" thickBot="1" x14ac:dyDescent="0.3">
      <c r="D304" s="488">
        <v>1</v>
      </c>
      <c r="E304" s="489">
        <v>2</v>
      </c>
      <c r="F304" s="489">
        <v>3</v>
      </c>
      <c r="G304" s="489">
        <v>4</v>
      </c>
      <c r="H304" s="489">
        <v>5</v>
      </c>
      <c r="I304" s="489">
        <v>6</v>
      </c>
      <c r="J304" s="489">
        <v>7</v>
      </c>
      <c r="K304" s="490">
        <v>8</v>
      </c>
      <c r="L304" s="490">
        <v>9</v>
      </c>
      <c r="M304" s="490">
        <v>10</v>
      </c>
      <c r="N304" s="490">
        <v>11</v>
      </c>
      <c r="O304" s="491">
        <v>12</v>
      </c>
      <c r="P304" s="35" t="s">
        <v>630</v>
      </c>
      <c r="Q304" s="21"/>
    </row>
    <row r="305" spans="2:18" s="3" customFormat="1" thickBot="1" x14ac:dyDescent="0.3">
      <c r="B305" s="43"/>
      <c r="C305" s="45" t="s">
        <v>5</v>
      </c>
      <c r="D305" s="317" t="s">
        <v>7</v>
      </c>
      <c r="E305" s="318" t="s">
        <v>103</v>
      </c>
      <c r="F305" s="318" t="s">
        <v>104</v>
      </c>
      <c r="G305" s="318" t="s">
        <v>105</v>
      </c>
      <c r="H305" s="318" t="s">
        <v>106</v>
      </c>
      <c r="I305" s="318" t="s">
        <v>108</v>
      </c>
      <c r="J305" s="319" t="s">
        <v>268</v>
      </c>
      <c r="K305" s="50"/>
      <c r="L305" s="50"/>
      <c r="M305" s="50"/>
      <c r="N305" s="50"/>
      <c r="O305" s="50"/>
      <c r="P305" s="50"/>
      <c r="Q305" s="50"/>
      <c r="R305" s="46"/>
    </row>
    <row r="306" spans="2:18" s="3" customFormat="1" x14ac:dyDescent="0.25">
      <c r="B306" s="44"/>
      <c r="C306" s="312" t="s">
        <v>248</v>
      </c>
      <c r="D306" s="315">
        <f>SUM(D307:D312)</f>
        <v>4140</v>
      </c>
      <c r="E306" s="315">
        <f>SUM(E307:E312)</f>
        <v>3180</v>
      </c>
      <c r="F306" s="315">
        <f>SUM(F307:F312)</f>
        <v>2220</v>
      </c>
      <c r="G306" s="315">
        <f>SUM(G307:G312)</f>
        <v>1260</v>
      </c>
      <c r="H306" s="315">
        <f>SUM(H307:H312)</f>
        <v>450</v>
      </c>
      <c r="I306" s="316">
        <f t="shared" ref="I306:I320" si="42">IF(AND(ISNUMBER(D306),ISNUMBER(E306),ISNUMBER(F306),ISNUMBER(G306),ISNUMBER(H306)),TREND(D306:H306,D$304:H$304,I$304),"SIN DATOS")</f>
        <v>-539.99999999999909</v>
      </c>
      <c r="J306" s="307"/>
      <c r="K306" s="48"/>
      <c r="L306" s="48"/>
      <c r="M306" s="48"/>
      <c r="N306" s="48"/>
      <c r="O306" s="48"/>
      <c r="P306" s="48"/>
      <c r="Q306" s="48"/>
      <c r="R306" s="47"/>
    </row>
    <row r="307" spans="2:18" s="3" customFormat="1" x14ac:dyDescent="0.25">
      <c r="B307" s="44"/>
      <c r="C307" s="304" t="s">
        <v>145</v>
      </c>
      <c r="D307" s="311">
        <f>IF(D134+D136-(F134+F136)*12&gt;0,D134+D136-(F134+F136)*12,0)</f>
        <v>450</v>
      </c>
      <c r="E307" s="311">
        <f>IF(D307-(F134+F136)*12&gt;0,D307-(F134+F136)*12,0)</f>
        <v>300</v>
      </c>
      <c r="F307" s="311">
        <f>IF(E307-(F134+F136)*12&gt;0,E307-(F134+F136)*12,0)</f>
        <v>150</v>
      </c>
      <c r="G307" s="311">
        <f>IF(F307-(F134+F136)*12&gt;0,F307-(F134+F136)*12,0)</f>
        <v>0</v>
      </c>
      <c r="H307" s="311">
        <f>IF(G307-(F134+F136)*12&gt;0,G307-(F134+F136)*12,0)</f>
        <v>0</v>
      </c>
      <c r="I307" s="303">
        <f t="shared" si="42"/>
        <v>-180</v>
      </c>
      <c r="J307" s="206"/>
      <c r="K307" s="48"/>
      <c r="L307" s="48"/>
      <c r="M307" s="48"/>
      <c r="N307" s="48"/>
      <c r="O307" s="48"/>
      <c r="P307" s="48"/>
      <c r="Q307" s="48"/>
      <c r="R307" s="47"/>
    </row>
    <row r="308" spans="2:18" s="3" customFormat="1" x14ac:dyDescent="0.25">
      <c r="B308" s="44"/>
      <c r="C308" s="304" t="s">
        <v>146</v>
      </c>
      <c r="D308" s="311">
        <f>IF(D132+D133+D135-(F132+F133+F135)*12&gt;0,D132+D133+D135-(F132+F133+F135)*12,0)</f>
        <v>3690</v>
      </c>
      <c r="E308" s="311">
        <f>IF(D308-(F132+F133+F135)*12&gt;0,D308-(F132+F133+F135)*12,0)</f>
        <v>2880</v>
      </c>
      <c r="F308" s="311">
        <f>IF(E308-(F132+F133+F135)*12&gt;0,E308-(F132+F133+F135)*12,0)</f>
        <v>2070</v>
      </c>
      <c r="G308" s="311">
        <f>IF(F308-(F132+F133+F135)*12&gt;0,F308-(F132+F133+F135)*12,0)</f>
        <v>1260</v>
      </c>
      <c r="H308" s="311">
        <f>IF(G308-(F132+F133+F135)*12&gt;0,G308-(F132+F133+F135)*12,0)</f>
        <v>450</v>
      </c>
      <c r="I308" s="303">
        <f t="shared" si="42"/>
        <v>-359.99999999999909</v>
      </c>
      <c r="J308" s="206"/>
      <c r="K308" s="48"/>
      <c r="L308" s="48"/>
      <c r="M308" s="48"/>
      <c r="N308" s="48"/>
      <c r="O308" s="48"/>
      <c r="P308" s="48"/>
      <c r="Q308" s="48"/>
      <c r="R308" s="47"/>
    </row>
    <row r="309" spans="2:18" s="3" customFormat="1" x14ac:dyDescent="0.25">
      <c r="B309" s="44"/>
      <c r="C309" s="304" t="s">
        <v>147</v>
      </c>
      <c r="D309" s="311">
        <v>0</v>
      </c>
      <c r="E309" s="311">
        <f t="shared" ref="E309:H312" si="43">D309</f>
        <v>0</v>
      </c>
      <c r="F309" s="311">
        <f t="shared" si="43"/>
        <v>0</v>
      </c>
      <c r="G309" s="311">
        <f t="shared" si="43"/>
        <v>0</v>
      </c>
      <c r="H309" s="311">
        <f t="shared" si="43"/>
        <v>0</v>
      </c>
      <c r="I309" s="303">
        <f t="shared" si="42"/>
        <v>0</v>
      </c>
      <c r="J309" s="206"/>
      <c r="K309" s="48"/>
      <c r="L309" s="48"/>
      <c r="M309" s="48"/>
      <c r="N309" s="48"/>
      <c r="O309" s="48"/>
      <c r="P309" s="48"/>
      <c r="Q309" s="48"/>
      <c r="R309" s="47"/>
    </row>
    <row r="310" spans="2:18" s="3" customFormat="1" x14ac:dyDescent="0.25">
      <c r="B310" s="44"/>
      <c r="C310" s="304" t="s">
        <v>148</v>
      </c>
      <c r="D310" s="311">
        <v>0</v>
      </c>
      <c r="E310" s="311">
        <f t="shared" si="43"/>
        <v>0</v>
      </c>
      <c r="F310" s="311">
        <f t="shared" si="43"/>
        <v>0</v>
      </c>
      <c r="G310" s="311">
        <f t="shared" si="43"/>
        <v>0</v>
      </c>
      <c r="H310" s="311">
        <f t="shared" si="43"/>
        <v>0</v>
      </c>
      <c r="I310" s="303">
        <f t="shared" si="42"/>
        <v>0</v>
      </c>
      <c r="J310" s="206"/>
      <c r="K310" s="48"/>
      <c r="L310" s="48"/>
      <c r="M310" s="48"/>
      <c r="N310" s="48"/>
      <c r="O310" s="48"/>
      <c r="P310" s="48"/>
      <c r="Q310" s="48"/>
      <c r="R310" s="47"/>
    </row>
    <row r="311" spans="2:18" s="3" customFormat="1" x14ac:dyDescent="0.25">
      <c r="B311" s="44"/>
      <c r="C311" s="304" t="s">
        <v>150</v>
      </c>
      <c r="D311" s="311">
        <v>0</v>
      </c>
      <c r="E311" s="311">
        <f t="shared" si="43"/>
        <v>0</v>
      </c>
      <c r="F311" s="311">
        <f t="shared" si="43"/>
        <v>0</v>
      </c>
      <c r="G311" s="311">
        <f t="shared" si="43"/>
        <v>0</v>
      </c>
      <c r="H311" s="311">
        <f t="shared" si="43"/>
        <v>0</v>
      </c>
      <c r="I311" s="303">
        <f t="shared" si="42"/>
        <v>0</v>
      </c>
      <c r="J311" s="206"/>
      <c r="K311" s="48"/>
      <c r="L311" s="48"/>
      <c r="M311" s="48"/>
      <c r="N311" s="48"/>
      <c r="O311" s="48"/>
      <c r="P311" s="48"/>
      <c r="Q311" s="48"/>
      <c r="R311" s="47"/>
    </row>
    <row r="312" spans="2:18" s="3" customFormat="1" x14ac:dyDescent="0.25">
      <c r="B312" s="44"/>
      <c r="C312" s="304" t="s">
        <v>151</v>
      </c>
      <c r="D312" s="311">
        <v>0</v>
      </c>
      <c r="E312" s="311">
        <f t="shared" si="43"/>
        <v>0</v>
      </c>
      <c r="F312" s="311">
        <f t="shared" si="43"/>
        <v>0</v>
      </c>
      <c r="G312" s="311">
        <f t="shared" si="43"/>
        <v>0</v>
      </c>
      <c r="H312" s="311">
        <f t="shared" si="43"/>
        <v>0</v>
      </c>
      <c r="I312" s="303">
        <f t="shared" si="42"/>
        <v>0</v>
      </c>
      <c r="J312" s="206"/>
      <c r="K312" s="48"/>
      <c r="L312" s="48"/>
      <c r="M312" s="48"/>
      <c r="N312" s="48"/>
      <c r="O312" s="48"/>
      <c r="P312" s="48"/>
      <c r="Q312" s="48"/>
      <c r="R312" s="47"/>
    </row>
    <row r="313" spans="2:18" s="3" customFormat="1" x14ac:dyDescent="0.25">
      <c r="B313" s="44"/>
      <c r="C313" s="313" t="s">
        <v>249</v>
      </c>
      <c r="D313" s="310">
        <f>SUM(D314:D320)</f>
        <v>21477.367442256204</v>
      </c>
      <c r="E313" s="310">
        <f>SUM(E314:E320)</f>
        <v>23586.867205374503</v>
      </c>
      <c r="F313" s="310">
        <f>SUM(F314:F320)</f>
        <v>25226.393801603976</v>
      </c>
      <c r="G313" s="310">
        <f>SUM(G314:G320)</f>
        <v>29011.037990170604</v>
      </c>
      <c r="H313" s="310">
        <f>SUM(H314:H320)</f>
        <v>36538.525001662725</v>
      </c>
      <c r="I313" s="303">
        <f t="shared" si="42"/>
        <v>37831.984059296345</v>
      </c>
      <c r="J313" s="206"/>
      <c r="K313" s="48"/>
      <c r="L313" s="48"/>
      <c r="M313" s="48"/>
      <c r="N313" s="48"/>
      <c r="O313" s="48"/>
      <c r="P313" s="48"/>
      <c r="Q313" s="48"/>
      <c r="R313" s="47"/>
    </row>
    <row r="314" spans="2:18" s="3" customFormat="1" x14ac:dyDescent="0.25">
      <c r="B314" s="44"/>
      <c r="C314" s="304" t="s">
        <v>139</v>
      </c>
      <c r="D314" s="311">
        <v>0</v>
      </c>
      <c r="E314" s="311">
        <f t="shared" ref="E314:H319" si="44">D314</f>
        <v>0</v>
      </c>
      <c r="F314" s="311">
        <f t="shared" si="44"/>
        <v>0</v>
      </c>
      <c r="G314" s="311">
        <f t="shared" si="44"/>
        <v>0</v>
      </c>
      <c r="H314" s="311">
        <f t="shared" si="44"/>
        <v>0</v>
      </c>
      <c r="I314" s="303">
        <f t="shared" si="42"/>
        <v>0</v>
      </c>
      <c r="J314" s="206"/>
      <c r="K314" s="48"/>
      <c r="L314" s="48"/>
      <c r="M314" s="48"/>
      <c r="N314" s="48"/>
      <c r="O314" s="48"/>
      <c r="P314" s="48"/>
      <c r="Q314" s="48"/>
      <c r="R314" s="47"/>
    </row>
    <row r="315" spans="2:18" s="3" customFormat="1" x14ac:dyDescent="0.25">
      <c r="B315" s="44"/>
      <c r="C315" s="304" t="s">
        <v>140</v>
      </c>
      <c r="D315" s="311">
        <v>0</v>
      </c>
      <c r="E315" s="311">
        <f t="shared" si="44"/>
        <v>0</v>
      </c>
      <c r="F315" s="311">
        <f t="shared" si="44"/>
        <v>0</v>
      </c>
      <c r="G315" s="311">
        <f t="shared" si="44"/>
        <v>0</v>
      </c>
      <c r="H315" s="311">
        <f t="shared" si="44"/>
        <v>0</v>
      </c>
      <c r="I315" s="303">
        <f t="shared" si="42"/>
        <v>0</v>
      </c>
      <c r="J315" s="206"/>
      <c r="K315" s="48"/>
      <c r="L315" s="48"/>
      <c r="M315" s="48"/>
      <c r="N315" s="48"/>
      <c r="O315" s="48"/>
      <c r="P315" s="48"/>
      <c r="Q315" s="48"/>
      <c r="R315" s="47"/>
    </row>
    <row r="316" spans="2:18" s="3" customFormat="1" x14ac:dyDescent="0.25">
      <c r="B316" s="44"/>
      <c r="C316" s="304" t="s">
        <v>141</v>
      </c>
      <c r="D316" s="311">
        <v>0</v>
      </c>
      <c r="E316" s="311">
        <f t="shared" si="44"/>
        <v>0</v>
      </c>
      <c r="F316" s="311">
        <f t="shared" si="44"/>
        <v>0</v>
      </c>
      <c r="G316" s="311">
        <f t="shared" si="44"/>
        <v>0</v>
      </c>
      <c r="H316" s="311">
        <f t="shared" si="44"/>
        <v>0</v>
      </c>
      <c r="I316" s="303">
        <f t="shared" si="42"/>
        <v>0</v>
      </c>
      <c r="J316" s="206"/>
      <c r="K316" s="48"/>
      <c r="L316" s="48"/>
      <c r="M316" s="48"/>
      <c r="N316" s="48"/>
      <c r="O316" s="48"/>
      <c r="P316" s="48"/>
      <c r="Q316" s="48"/>
      <c r="R316" s="47"/>
    </row>
    <row r="317" spans="2:18" s="3" customFormat="1" x14ac:dyDescent="0.25">
      <c r="B317" s="44"/>
      <c r="C317" s="304" t="s">
        <v>149</v>
      </c>
      <c r="D317" s="311">
        <v>0</v>
      </c>
      <c r="E317" s="311">
        <f t="shared" si="44"/>
        <v>0</v>
      </c>
      <c r="F317" s="311">
        <f t="shared" si="44"/>
        <v>0</v>
      </c>
      <c r="G317" s="311">
        <f t="shared" si="44"/>
        <v>0</v>
      </c>
      <c r="H317" s="311">
        <f t="shared" si="44"/>
        <v>0</v>
      </c>
      <c r="I317" s="303">
        <f t="shared" si="42"/>
        <v>0</v>
      </c>
      <c r="J317" s="206"/>
      <c r="K317" s="48"/>
      <c r="L317" s="48"/>
      <c r="M317" s="48"/>
      <c r="N317" s="48"/>
      <c r="O317" s="48"/>
      <c r="P317" s="48"/>
      <c r="Q317" s="48"/>
      <c r="R317" s="47"/>
    </row>
    <row r="318" spans="2:18" s="3" customFormat="1" x14ac:dyDescent="0.25">
      <c r="B318" s="44"/>
      <c r="C318" s="304" t="s">
        <v>142</v>
      </c>
      <c r="D318" s="311">
        <v>0</v>
      </c>
      <c r="E318" s="311">
        <f t="shared" si="44"/>
        <v>0</v>
      </c>
      <c r="F318" s="311">
        <f t="shared" si="44"/>
        <v>0</v>
      </c>
      <c r="G318" s="311">
        <f t="shared" si="44"/>
        <v>0</v>
      </c>
      <c r="H318" s="311">
        <f t="shared" si="44"/>
        <v>0</v>
      </c>
      <c r="I318" s="303">
        <f t="shared" si="42"/>
        <v>0</v>
      </c>
      <c r="J318" s="206"/>
      <c r="K318" s="48"/>
      <c r="L318" s="48"/>
      <c r="M318" s="48"/>
      <c r="N318" s="48"/>
      <c r="O318" s="48"/>
      <c r="P318" s="48"/>
      <c r="Q318" s="48"/>
      <c r="R318" s="47"/>
    </row>
    <row r="319" spans="2:18" s="3" customFormat="1" x14ac:dyDescent="0.25">
      <c r="B319" s="44"/>
      <c r="C319" s="304" t="s">
        <v>143</v>
      </c>
      <c r="D319" s="311">
        <v>0</v>
      </c>
      <c r="E319" s="311">
        <f t="shared" si="44"/>
        <v>0</v>
      </c>
      <c r="F319" s="311">
        <f t="shared" si="44"/>
        <v>0</v>
      </c>
      <c r="G319" s="311">
        <f t="shared" si="44"/>
        <v>0</v>
      </c>
      <c r="H319" s="311">
        <f t="shared" si="44"/>
        <v>0</v>
      </c>
      <c r="I319" s="303">
        <f t="shared" si="42"/>
        <v>0</v>
      </c>
      <c r="J319" s="206"/>
      <c r="K319" s="48"/>
      <c r="L319" s="48"/>
      <c r="M319" s="48"/>
      <c r="N319" s="48"/>
      <c r="O319" s="48"/>
      <c r="P319" s="48"/>
      <c r="Q319" s="48"/>
      <c r="R319" s="47"/>
    </row>
    <row r="320" spans="2:18" s="3" customFormat="1" ht="16.5" thickBot="1" x14ac:dyDescent="0.3">
      <c r="B320" s="443"/>
      <c r="C320" s="305" t="s">
        <v>144</v>
      </c>
      <c r="D320" s="314">
        <f>O236</f>
        <v>21477.367442256204</v>
      </c>
      <c r="E320" s="314">
        <f>E350-E306</f>
        <v>23586.867205374503</v>
      </c>
      <c r="F320" s="314">
        <f t="shared" ref="F320:H320" si="45">F350-F306</f>
        <v>25226.393801603976</v>
      </c>
      <c r="G320" s="314">
        <f t="shared" si="45"/>
        <v>29011.037990170604</v>
      </c>
      <c r="H320" s="314">
        <f t="shared" si="45"/>
        <v>36538.525001662725</v>
      </c>
      <c r="I320" s="306">
        <f t="shared" si="42"/>
        <v>37831.984059296345</v>
      </c>
      <c r="J320" s="208"/>
      <c r="K320" s="48"/>
      <c r="L320" s="48"/>
      <c r="M320" s="48"/>
      <c r="N320" s="48"/>
      <c r="O320" s="48"/>
      <c r="P320" s="48"/>
      <c r="Q320" s="48"/>
      <c r="R320" s="47"/>
    </row>
    <row r="321" spans="2:18" s="3" customFormat="1" thickBot="1" x14ac:dyDescent="0.3">
      <c r="B321" s="44"/>
      <c r="C321" s="48"/>
      <c r="D321" s="48"/>
      <c r="E321" s="48"/>
      <c r="F321" s="48"/>
      <c r="G321" s="48"/>
      <c r="H321" s="48"/>
      <c r="I321" s="48"/>
      <c r="J321" s="48"/>
      <c r="K321" s="48"/>
      <c r="L321" s="48"/>
      <c r="M321" s="48"/>
      <c r="N321" s="48"/>
      <c r="O321" s="48"/>
      <c r="P321" s="48"/>
      <c r="Q321" s="48"/>
      <c r="R321" s="47"/>
    </row>
    <row r="322" spans="2:18" s="3" customFormat="1" thickBot="1" x14ac:dyDescent="0.3">
      <c r="B322" s="44"/>
      <c r="C322" s="48"/>
      <c r="D322" s="317" t="s">
        <v>7</v>
      </c>
      <c r="E322" s="318" t="s">
        <v>103</v>
      </c>
      <c r="F322" s="318" t="s">
        <v>104</v>
      </c>
      <c r="G322" s="318" t="s">
        <v>105</v>
      </c>
      <c r="H322" s="318" t="s">
        <v>106</v>
      </c>
      <c r="I322" s="318" t="s">
        <v>108</v>
      </c>
      <c r="J322" s="319" t="s">
        <v>268</v>
      </c>
      <c r="K322" s="48"/>
      <c r="L322" s="48"/>
      <c r="M322" s="48"/>
      <c r="N322" s="48"/>
      <c r="O322" s="48"/>
      <c r="P322" s="48"/>
      <c r="Q322" s="48"/>
      <c r="R322" s="47"/>
    </row>
    <row r="323" spans="2:18" s="3" customFormat="1" x14ac:dyDescent="0.25">
      <c r="B323" s="44"/>
      <c r="C323" s="312" t="s">
        <v>250</v>
      </c>
      <c r="D323" s="444">
        <f>D324+D334+D335</f>
        <v>21250.308244489097</v>
      </c>
      <c r="E323" s="444">
        <f>E324+E334+E335</f>
        <v>23395.598946180435</v>
      </c>
      <c r="F323" s="444">
        <f>F324+F334+F335</f>
        <v>25132.334687148628</v>
      </c>
      <c r="G323" s="444">
        <f>G324+G334+G335</f>
        <v>29079.39436718461</v>
      </c>
      <c r="H323" s="444">
        <f>H324+H334+H335</f>
        <v>36988.525001662725</v>
      </c>
      <c r="I323" s="445">
        <f t="shared" ref="I323:I348" si="46">IF(AND(ISNUMBER(D323),ISNUMBER(E323),ISNUMBER(F323),ISNUMBER(G323),ISNUMBER(H323)),TREND(D323:H323,D$304:H$304,I$304),"SIN DATOS")</f>
        <v>38317.300929938523</v>
      </c>
      <c r="J323" s="446"/>
      <c r="K323" s="48"/>
      <c r="L323" s="48"/>
      <c r="M323" s="48"/>
      <c r="N323" s="48"/>
      <c r="O323" s="48"/>
      <c r="P323" s="48"/>
      <c r="Q323" s="48"/>
      <c r="R323" s="47"/>
    </row>
    <row r="324" spans="2:18" s="3" customFormat="1" x14ac:dyDescent="0.25">
      <c r="B324" s="44"/>
      <c r="C324" s="313" t="s">
        <v>153</v>
      </c>
      <c r="D324" s="310">
        <f>SUM(D325:D333)</f>
        <v>19250.308244489097</v>
      </c>
      <c r="E324" s="310">
        <f>SUM(E325:E333)</f>
        <v>21395.598946180435</v>
      </c>
      <c r="F324" s="310">
        <f>SUM(F325:F333)</f>
        <v>23132.334687148628</v>
      </c>
      <c r="G324" s="310">
        <f>SUM(G325:G333)</f>
        <v>27079.39436718461</v>
      </c>
      <c r="H324" s="310">
        <f>SUM(H325:H333)</f>
        <v>34988.525001662725</v>
      </c>
      <c r="I324" s="303">
        <f t="shared" si="46"/>
        <v>36317.300929938523</v>
      </c>
      <c r="J324" s="206"/>
      <c r="K324" s="48"/>
      <c r="L324" s="48"/>
      <c r="M324" s="48"/>
      <c r="N324" s="48"/>
      <c r="O324" s="48"/>
      <c r="P324" s="48"/>
      <c r="Q324" s="48"/>
      <c r="R324" s="47"/>
    </row>
    <row r="325" spans="2:18" s="3" customFormat="1" x14ac:dyDescent="0.25">
      <c r="B325" s="44"/>
      <c r="C325" s="304" t="s">
        <v>154</v>
      </c>
      <c r="D325" s="311">
        <f>3000</f>
        <v>3000</v>
      </c>
      <c r="E325" s="311">
        <f>D325</f>
        <v>3000</v>
      </c>
      <c r="F325" s="311">
        <f>E325</f>
        <v>3000</v>
      </c>
      <c r="G325" s="311">
        <f>F325</f>
        <v>3000</v>
      </c>
      <c r="H325" s="311">
        <f>G325</f>
        <v>3000</v>
      </c>
      <c r="I325" s="303">
        <f t="shared" si="46"/>
        <v>3000</v>
      </c>
      <c r="J325" s="206"/>
      <c r="K325" s="48"/>
      <c r="L325" s="48"/>
      <c r="M325" s="48"/>
      <c r="N325" s="48"/>
      <c r="O325" s="48"/>
      <c r="P325" s="48"/>
      <c r="Q325" s="48"/>
      <c r="R325" s="47"/>
    </row>
    <row r="326" spans="2:18" s="3" customFormat="1" x14ac:dyDescent="0.25">
      <c r="B326" s="44"/>
      <c r="C326" s="304" t="s">
        <v>155</v>
      </c>
      <c r="D326" s="311"/>
      <c r="E326" s="311"/>
      <c r="F326" s="311"/>
      <c r="G326" s="311"/>
      <c r="H326" s="311"/>
      <c r="I326" s="303" t="str">
        <f t="shared" si="46"/>
        <v>SIN DATOS</v>
      </c>
      <c r="J326" s="206"/>
      <c r="K326" s="48"/>
      <c r="L326" s="48"/>
      <c r="M326" s="48"/>
      <c r="N326" s="48"/>
      <c r="O326" s="48"/>
      <c r="P326" s="48"/>
      <c r="Q326" s="48"/>
      <c r="R326" s="47"/>
    </row>
    <row r="327" spans="2:18" s="3" customFormat="1" x14ac:dyDescent="0.25">
      <c r="B327" s="44"/>
      <c r="C327" s="304" t="s">
        <v>156</v>
      </c>
      <c r="D327" s="311">
        <f>E157-D325-E117</f>
        <v>7640</v>
      </c>
      <c r="E327" s="311">
        <f t="shared" ref="E327:H327" si="47">D327</f>
        <v>7640</v>
      </c>
      <c r="F327" s="311">
        <f t="shared" si="47"/>
        <v>7640</v>
      </c>
      <c r="G327" s="311">
        <f t="shared" si="47"/>
        <v>7640</v>
      </c>
      <c r="H327" s="311">
        <f t="shared" si="47"/>
        <v>7640</v>
      </c>
      <c r="I327" s="303">
        <f t="shared" si="46"/>
        <v>7640</v>
      </c>
      <c r="J327" s="206"/>
      <c r="K327" s="48"/>
      <c r="L327" s="48"/>
      <c r="M327" s="48"/>
      <c r="N327" s="48"/>
      <c r="O327" s="48"/>
      <c r="P327" s="48"/>
      <c r="Q327" s="48"/>
      <c r="R327" s="47"/>
    </row>
    <row r="328" spans="2:18" s="3" customFormat="1" x14ac:dyDescent="0.25">
      <c r="B328" s="44"/>
      <c r="C328" s="304" t="s">
        <v>157</v>
      </c>
      <c r="D328" s="311"/>
      <c r="E328" s="311"/>
      <c r="F328" s="311"/>
      <c r="G328" s="311"/>
      <c r="H328" s="311"/>
      <c r="I328" s="303" t="str">
        <f t="shared" si="46"/>
        <v>SIN DATOS</v>
      </c>
      <c r="J328" s="206"/>
      <c r="K328" s="48"/>
      <c r="L328" s="48"/>
      <c r="M328" s="48"/>
      <c r="N328" s="48"/>
      <c r="O328" s="48"/>
      <c r="P328" s="48"/>
      <c r="Q328" s="48"/>
      <c r="R328" s="47"/>
    </row>
    <row r="329" spans="2:18" s="3" customFormat="1" x14ac:dyDescent="0.25">
      <c r="B329" s="44"/>
      <c r="C329" s="304" t="s">
        <v>158</v>
      </c>
      <c r="D329" s="311"/>
      <c r="E329" s="311"/>
      <c r="F329" s="311"/>
      <c r="G329" s="311"/>
      <c r="H329" s="311"/>
      <c r="I329" s="303" t="str">
        <f t="shared" si="46"/>
        <v>SIN DATOS</v>
      </c>
      <c r="J329" s="206"/>
      <c r="K329" s="48"/>
      <c r="L329" s="48"/>
      <c r="M329" s="48"/>
      <c r="N329" s="48"/>
      <c r="O329" s="48"/>
      <c r="P329" s="48"/>
      <c r="Q329" s="48"/>
      <c r="R329" s="47"/>
    </row>
    <row r="330" spans="2:18" s="3" customFormat="1" x14ac:dyDescent="0.25">
      <c r="B330" s="44"/>
      <c r="C330" s="304" t="s">
        <v>159</v>
      </c>
      <c r="D330" s="311"/>
      <c r="E330" s="311"/>
      <c r="F330" s="311"/>
      <c r="G330" s="311"/>
      <c r="H330" s="311"/>
      <c r="I330" s="303" t="str">
        <f t="shared" si="46"/>
        <v>SIN DATOS</v>
      </c>
      <c r="J330" s="206"/>
      <c r="K330" s="48"/>
      <c r="L330" s="48"/>
      <c r="M330" s="48"/>
      <c r="N330" s="48"/>
      <c r="O330" s="48"/>
      <c r="P330" s="48"/>
      <c r="Q330" s="48"/>
      <c r="R330" s="47"/>
    </row>
    <row r="331" spans="2:18" s="3" customFormat="1" x14ac:dyDescent="0.25">
      <c r="B331" s="44"/>
      <c r="C331" s="304" t="s">
        <v>160</v>
      </c>
      <c r="D331" s="311">
        <f>D375</f>
        <v>8610.308244489097</v>
      </c>
      <c r="E331" s="311">
        <f t="shared" ref="E331:H331" si="48">E375</f>
        <v>10755.598946180435</v>
      </c>
      <c r="F331" s="311">
        <f t="shared" si="48"/>
        <v>12492.334687148626</v>
      </c>
      <c r="G331" s="311">
        <f t="shared" si="48"/>
        <v>16439.39436718461</v>
      </c>
      <c r="H331" s="311">
        <f t="shared" si="48"/>
        <v>24348.525001662725</v>
      </c>
      <c r="I331" s="303">
        <f t="shared" si="46"/>
        <v>25677.300929938523</v>
      </c>
      <c r="J331" s="206"/>
      <c r="K331" s="48"/>
      <c r="L331" s="48"/>
      <c r="M331" s="48"/>
      <c r="N331" s="497"/>
      <c r="O331" s="48"/>
      <c r="P331" s="48"/>
      <c r="Q331" s="48"/>
      <c r="R331" s="47"/>
    </row>
    <row r="332" spans="2:18" s="3" customFormat="1" x14ac:dyDescent="0.25">
      <c r="B332" s="44"/>
      <c r="C332" s="304" t="s">
        <v>161</v>
      </c>
      <c r="D332" s="311"/>
      <c r="E332" s="311"/>
      <c r="F332" s="311"/>
      <c r="G332" s="311"/>
      <c r="H332" s="311"/>
      <c r="I332" s="303" t="str">
        <f t="shared" si="46"/>
        <v>SIN DATOS</v>
      </c>
      <c r="J332" s="206"/>
      <c r="K332" s="48"/>
      <c r="L332" s="48"/>
      <c r="M332" s="48"/>
      <c r="N332" s="48"/>
      <c r="O332" s="48"/>
      <c r="P332" s="48"/>
      <c r="Q332" s="48"/>
      <c r="R332" s="47"/>
    </row>
    <row r="333" spans="2:18" s="3" customFormat="1" x14ac:dyDescent="0.25">
      <c r="B333" s="44"/>
      <c r="C333" s="304" t="s">
        <v>162</v>
      </c>
      <c r="D333" s="311"/>
      <c r="E333" s="311"/>
      <c r="F333" s="311"/>
      <c r="G333" s="311"/>
      <c r="H333" s="311"/>
      <c r="I333" s="303" t="str">
        <f t="shared" si="46"/>
        <v>SIN DATOS</v>
      </c>
      <c r="J333" s="206"/>
      <c r="K333" s="48"/>
      <c r="L333" s="48"/>
      <c r="M333" s="48"/>
      <c r="N333" s="48"/>
      <c r="O333" s="48"/>
      <c r="P333" s="48"/>
      <c r="Q333" s="48"/>
      <c r="R333" s="47"/>
    </row>
    <row r="334" spans="2:18" s="3" customFormat="1" x14ac:dyDescent="0.25">
      <c r="B334" s="44"/>
      <c r="C334" s="313" t="s">
        <v>163</v>
      </c>
      <c r="D334" s="311"/>
      <c r="E334" s="311"/>
      <c r="F334" s="311"/>
      <c r="G334" s="311"/>
      <c r="H334" s="311"/>
      <c r="I334" s="303" t="str">
        <f t="shared" si="46"/>
        <v>SIN DATOS</v>
      </c>
      <c r="J334" s="206"/>
      <c r="K334" s="48"/>
      <c r="L334" s="48"/>
      <c r="M334" s="48"/>
      <c r="N334" s="48"/>
      <c r="O334" s="48"/>
      <c r="P334" s="48"/>
      <c r="Q334" s="48"/>
      <c r="R334" s="47"/>
    </row>
    <row r="335" spans="2:18" s="3" customFormat="1" x14ac:dyDescent="0.25">
      <c r="B335" s="44"/>
      <c r="C335" s="313" t="s">
        <v>247</v>
      </c>
      <c r="D335" s="320">
        <f>E162</f>
        <v>2000</v>
      </c>
      <c r="E335" s="320">
        <f>D335</f>
        <v>2000</v>
      </c>
      <c r="F335" s="320">
        <f>E335</f>
        <v>2000</v>
      </c>
      <c r="G335" s="320">
        <f>F335</f>
        <v>2000</v>
      </c>
      <c r="H335" s="320">
        <f>G335</f>
        <v>2000</v>
      </c>
      <c r="I335" s="303">
        <f t="shared" si="46"/>
        <v>2000</v>
      </c>
      <c r="J335" s="206"/>
      <c r="K335" s="48"/>
      <c r="L335" s="48"/>
      <c r="M335" s="48"/>
      <c r="N335" s="48"/>
      <c r="O335" s="48"/>
      <c r="P335" s="48"/>
      <c r="Q335" s="48"/>
      <c r="R335" s="47"/>
    </row>
    <row r="336" spans="2:18" s="3" customFormat="1" x14ac:dyDescent="0.25">
      <c r="B336" s="44"/>
      <c r="C336" s="313" t="s">
        <v>251</v>
      </c>
      <c r="D336" s="320">
        <f>SUM(D337:D341)</f>
        <v>3371.2682591940702</v>
      </c>
      <c r="E336" s="320">
        <f>SUM(E337:E341)</f>
        <v>2314.059114455345</v>
      </c>
      <c r="F336" s="320">
        <f>SUM(F337:F341)</f>
        <v>1191.6436229859962</v>
      </c>
      <c r="G336" s="320">
        <f>SUM(G337:G341)</f>
        <v>0</v>
      </c>
      <c r="H336" s="320">
        <f>SUM(H337:H341)</f>
        <v>0</v>
      </c>
      <c r="I336" s="303">
        <f t="shared" si="46"/>
        <v>-1341.5844905259628</v>
      </c>
      <c r="J336" s="206"/>
      <c r="K336" s="48"/>
      <c r="L336" s="48"/>
      <c r="M336" s="48"/>
      <c r="N336" s="48"/>
      <c r="O336" s="48"/>
      <c r="P336" s="48"/>
      <c r="Q336" s="48"/>
      <c r="R336" s="47"/>
    </row>
    <row r="337" spans="2:18" s="3" customFormat="1" x14ac:dyDescent="0.25">
      <c r="B337" s="44"/>
      <c r="C337" s="304" t="s">
        <v>164</v>
      </c>
      <c r="D337" s="311"/>
      <c r="E337" s="311"/>
      <c r="F337" s="311"/>
      <c r="G337" s="311"/>
      <c r="H337" s="311"/>
      <c r="I337" s="303" t="str">
        <f t="shared" si="46"/>
        <v>SIN DATOS</v>
      </c>
      <c r="J337" s="206"/>
      <c r="K337" s="48"/>
      <c r="L337" s="48"/>
      <c r="M337" s="48"/>
      <c r="N337" s="48"/>
      <c r="O337" s="48"/>
      <c r="P337" s="48"/>
      <c r="Q337" s="48"/>
      <c r="R337" s="47"/>
    </row>
    <row r="338" spans="2:18" s="3" customFormat="1" x14ac:dyDescent="0.25">
      <c r="B338" s="44"/>
      <c r="C338" s="304" t="s">
        <v>165</v>
      </c>
      <c r="D338" s="311">
        <f>E166-SUM(D230:O230)-D345</f>
        <v>3371.2682591940702</v>
      </c>
      <c r="E338" s="311">
        <f>D338-E345</f>
        <v>2314.059114455345</v>
      </c>
      <c r="F338" s="311">
        <f>E338-F345</f>
        <v>1191.6436229859962</v>
      </c>
      <c r="G338" s="311">
        <f>F338-G345</f>
        <v>0</v>
      </c>
      <c r="H338" s="311">
        <f>G338-H345</f>
        <v>0</v>
      </c>
      <c r="I338" s="303">
        <f t="shared" si="46"/>
        <v>-1341.5844905259628</v>
      </c>
      <c r="J338" s="206"/>
      <c r="K338" s="48"/>
      <c r="L338" s="48"/>
      <c r="M338" s="48"/>
      <c r="N338" s="48"/>
      <c r="O338" s="48"/>
      <c r="P338" s="48"/>
      <c r="Q338" s="48"/>
      <c r="R338" s="47"/>
    </row>
    <row r="339" spans="2:18" s="3" customFormat="1" x14ac:dyDescent="0.25">
      <c r="B339" s="44"/>
      <c r="C339" s="304" t="s">
        <v>166</v>
      </c>
      <c r="D339" s="311"/>
      <c r="E339" s="311"/>
      <c r="F339" s="311"/>
      <c r="G339" s="311"/>
      <c r="H339" s="311"/>
      <c r="I339" s="303" t="str">
        <f t="shared" si="46"/>
        <v>SIN DATOS</v>
      </c>
      <c r="J339" s="206"/>
      <c r="K339" s="48"/>
      <c r="L339" s="48"/>
      <c r="M339" s="48"/>
      <c r="N339" s="48"/>
      <c r="O339" s="48"/>
      <c r="P339" s="48"/>
      <c r="Q339" s="48"/>
      <c r="R339" s="47"/>
    </row>
    <row r="340" spans="2:18" s="3" customFormat="1" x14ac:dyDescent="0.25">
      <c r="B340" s="44"/>
      <c r="C340" s="304" t="s">
        <v>167</v>
      </c>
      <c r="D340" s="311"/>
      <c r="E340" s="311"/>
      <c r="F340" s="311"/>
      <c r="G340" s="311"/>
      <c r="H340" s="311"/>
      <c r="I340" s="303" t="str">
        <f t="shared" si="46"/>
        <v>SIN DATOS</v>
      </c>
      <c r="J340" s="206"/>
      <c r="K340" s="48"/>
      <c r="L340" s="48"/>
      <c r="M340" s="48"/>
      <c r="N340" s="48"/>
      <c r="O340" s="48"/>
      <c r="P340" s="48"/>
      <c r="Q340" s="48"/>
      <c r="R340" s="47"/>
    </row>
    <row r="341" spans="2:18" s="3" customFormat="1" x14ac:dyDescent="0.25">
      <c r="B341" s="44"/>
      <c r="C341" s="304" t="s">
        <v>168</v>
      </c>
      <c r="D341" s="311"/>
      <c r="E341" s="311"/>
      <c r="F341" s="311"/>
      <c r="G341" s="311"/>
      <c r="H341" s="311"/>
      <c r="I341" s="303" t="str">
        <f t="shared" si="46"/>
        <v>SIN DATOS</v>
      </c>
      <c r="J341" s="206"/>
      <c r="K341" s="48"/>
      <c r="L341" s="48"/>
      <c r="M341" s="48"/>
      <c r="N341" s="48"/>
      <c r="O341" s="48"/>
      <c r="P341" s="48"/>
      <c r="Q341" s="48"/>
      <c r="R341" s="47"/>
    </row>
    <row r="342" spans="2:18" s="3" customFormat="1" x14ac:dyDescent="0.25">
      <c r="B342" s="44"/>
      <c r="C342" s="313" t="s">
        <v>252</v>
      </c>
      <c r="D342" s="310">
        <f>SUM(D343:D348)</f>
        <v>995.7909385730436</v>
      </c>
      <c r="E342" s="310">
        <f>SUM(E343:E348)</f>
        <v>1057.2091447387252</v>
      </c>
      <c r="F342" s="310">
        <f>SUM(F343:F348)</f>
        <v>1122.4154914693488</v>
      </c>
      <c r="G342" s="310">
        <f>SUM(G343:G348)</f>
        <v>1191.6436229859951</v>
      </c>
      <c r="H342" s="310">
        <f>SUM(H343:H348)</f>
        <v>0</v>
      </c>
      <c r="I342" s="303">
        <f t="shared" si="46"/>
        <v>316.26761988377734</v>
      </c>
      <c r="J342" s="206"/>
      <c r="K342" s="48"/>
      <c r="L342" s="48"/>
      <c r="M342" s="48"/>
      <c r="N342" s="48"/>
      <c r="O342" s="48"/>
      <c r="P342" s="48"/>
      <c r="Q342" s="48"/>
      <c r="R342" s="47"/>
    </row>
    <row r="343" spans="2:18" s="3" customFormat="1" x14ac:dyDescent="0.25">
      <c r="B343" s="44"/>
      <c r="C343" s="304" t="s">
        <v>169</v>
      </c>
      <c r="D343" s="311"/>
      <c r="E343" s="311"/>
      <c r="F343" s="311"/>
      <c r="G343" s="311"/>
      <c r="H343" s="311"/>
      <c r="I343" s="303" t="str">
        <f t="shared" si="46"/>
        <v>SIN DATOS</v>
      </c>
      <c r="J343" s="206"/>
      <c r="K343" s="48"/>
      <c r="L343" s="48"/>
      <c r="M343" s="48"/>
      <c r="N343" s="48"/>
      <c r="O343" s="48"/>
      <c r="P343" s="48"/>
      <c r="Q343" s="48"/>
      <c r="R343" s="47"/>
    </row>
    <row r="344" spans="2:18" s="3" customFormat="1" x14ac:dyDescent="0.25">
      <c r="B344" s="44"/>
      <c r="C344" s="304" t="s">
        <v>170</v>
      </c>
      <c r="D344" s="311"/>
      <c r="E344" s="311"/>
      <c r="F344" s="311"/>
      <c r="G344" s="311"/>
      <c r="H344" s="311"/>
      <c r="I344" s="303" t="str">
        <f t="shared" si="46"/>
        <v>SIN DATOS</v>
      </c>
      <c r="J344" s="206"/>
      <c r="K344" s="48"/>
      <c r="L344" s="48"/>
      <c r="M344" s="48"/>
      <c r="N344" s="48"/>
      <c r="O344" s="48"/>
      <c r="P344" s="48"/>
      <c r="Q344" s="48"/>
      <c r="R344" s="47"/>
    </row>
    <row r="345" spans="2:18" s="3" customFormat="1" x14ac:dyDescent="0.25">
      <c r="B345" s="44"/>
      <c r="C345" s="304" t="s">
        <v>171</v>
      </c>
      <c r="D345" s="311">
        <f>SUM(U215:AF215)</f>
        <v>995.7909385730436</v>
      </c>
      <c r="E345" s="311">
        <f>SUM(U220:AF220)</f>
        <v>1057.2091447387252</v>
      </c>
      <c r="F345" s="311">
        <f>SUM(U225:AF225)</f>
        <v>1122.4154914693488</v>
      </c>
      <c r="G345" s="311">
        <f>SUM(U230:AF230)</f>
        <v>1191.6436229859951</v>
      </c>
      <c r="H345" s="311">
        <v>0</v>
      </c>
      <c r="I345" s="303">
        <f t="shared" si="46"/>
        <v>316.26761988377734</v>
      </c>
      <c r="J345" s="206"/>
      <c r="K345" s="48"/>
      <c r="L345" s="48"/>
      <c r="M345" s="48"/>
      <c r="N345" s="48"/>
      <c r="O345" s="48"/>
      <c r="P345" s="48"/>
      <c r="Q345" s="48"/>
      <c r="R345" s="47"/>
    </row>
    <row r="346" spans="2:18" s="3" customFormat="1" x14ac:dyDescent="0.25">
      <c r="B346" s="44"/>
      <c r="C346" s="304" t="s">
        <v>172</v>
      </c>
      <c r="D346" s="311"/>
      <c r="E346" s="311"/>
      <c r="F346" s="311"/>
      <c r="G346" s="311"/>
      <c r="H346" s="311"/>
      <c r="I346" s="303" t="str">
        <f t="shared" si="46"/>
        <v>SIN DATOS</v>
      </c>
      <c r="J346" s="206"/>
      <c r="K346" s="48"/>
      <c r="L346" s="48"/>
      <c r="M346" s="48"/>
      <c r="N346" s="48"/>
      <c r="O346" s="48"/>
      <c r="P346" s="48"/>
      <c r="Q346" s="48"/>
      <c r="R346" s="47"/>
    </row>
    <row r="347" spans="2:18" s="3" customFormat="1" x14ac:dyDescent="0.25">
      <c r="B347" s="44"/>
      <c r="C347" s="304" t="s">
        <v>173</v>
      </c>
      <c r="D347" s="311"/>
      <c r="E347" s="311"/>
      <c r="F347" s="311"/>
      <c r="G347" s="311"/>
      <c r="H347" s="311"/>
      <c r="I347" s="303" t="str">
        <f t="shared" si="46"/>
        <v>SIN DATOS</v>
      </c>
      <c r="J347" s="206"/>
      <c r="K347" s="48"/>
      <c r="L347" s="48"/>
      <c r="M347" s="48"/>
      <c r="N347" s="48"/>
      <c r="O347" s="48"/>
      <c r="P347" s="48"/>
      <c r="Q347" s="48"/>
      <c r="R347" s="47"/>
    </row>
    <row r="348" spans="2:18" s="3" customFormat="1" ht="16.5" thickBot="1" x14ac:dyDescent="0.3">
      <c r="B348" s="44"/>
      <c r="C348" s="305" t="s">
        <v>143</v>
      </c>
      <c r="D348" s="314"/>
      <c r="E348" s="314"/>
      <c r="F348" s="314"/>
      <c r="G348" s="314"/>
      <c r="H348" s="314"/>
      <c r="I348" s="306" t="str">
        <f t="shared" si="46"/>
        <v>SIN DATOS</v>
      </c>
      <c r="J348" s="208"/>
      <c r="K348" s="48"/>
      <c r="L348" s="48"/>
      <c r="M348" s="48"/>
      <c r="N348" s="48"/>
      <c r="O348" s="48"/>
      <c r="P348" s="48"/>
      <c r="Q348" s="48"/>
      <c r="R348" s="47"/>
    </row>
    <row r="349" spans="2:18" s="3" customFormat="1" thickBot="1" x14ac:dyDescent="0.3">
      <c r="B349" s="44"/>
      <c r="C349" s="48"/>
      <c r="D349" s="48"/>
      <c r="E349" s="48"/>
      <c r="F349" s="48"/>
      <c r="G349" s="48"/>
      <c r="H349" s="48"/>
      <c r="I349" s="48"/>
      <c r="J349" s="48"/>
      <c r="K349" s="48"/>
      <c r="L349" s="48"/>
      <c r="M349" s="48"/>
      <c r="N349" s="48"/>
      <c r="O349" s="48"/>
      <c r="P349" s="48"/>
      <c r="Q349" s="48"/>
      <c r="R349" s="47"/>
    </row>
    <row r="350" spans="2:18" s="3" customFormat="1" ht="16.5" thickBot="1" x14ac:dyDescent="0.3">
      <c r="B350" s="44"/>
      <c r="C350" s="321" t="s">
        <v>837</v>
      </c>
      <c r="D350" s="322">
        <f>D323+D336+D342</f>
        <v>25617.367442256211</v>
      </c>
      <c r="E350" s="322">
        <f>E323+E336+E342</f>
        <v>26766.867205374503</v>
      </c>
      <c r="F350" s="322">
        <f>F323+F336+F342</f>
        <v>27446.393801603976</v>
      </c>
      <c r="G350" s="322">
        <f>G323+G336+G342</f>
        <v>30271.037990170604</v>
      </c>
      <c r="H350" s="322">
        <f>H323+H336+H342</f>
        <v>36988.525001662725</v>
      </c>
      <c r="I350" s="323">
        <f>IF(AND(ISNUMBER(D350),ISNUMBER(E350),ISNUMBER(F350),ISNUMBER(G350),ISNUMBER(H350)),TREND(D350:H350,D$304:H$304,I$304),"SIN DATOS")</f>
        <v>37291.984059296345</v>
      </c>
      <c r="J350" s="324"/>
      <c r="K350" s="48"/>
      <c r="L350" s="510">
        <f>D350-D306-D313</f>
        <v>0</v>
      </c>
      <c r="M350" s="510">
        <f t="shared" ref="M350:O350" si="49">E350-E306-E313</f>
        <v>0</v>
      </c>
      <c r="N350" s="510">
        <f t="shared" si="49"/>
        <v>0</v>
      </c>
      <c r="O350" s="510">
        <f t="shared" si="49"/>
        <v>0</v>
      </c>
      <c r="P350" s="510">
        <f>H350-H306-H313</f>
        <v>0</v>
      </c>
      <c r="Q350" s="48"/>
      <c r="R350" s="47"/>
    </row>
    <row r="351" spans="2:18" s="3" customFormat="1" thickBot="1" x14ac:dyDescent="0.3">
      <c r="B351" s="44"/>
      <c r="C351" s="48"/>
      <c r="D351" s="48"/>
      <c r="E351" s="48"/>
      <c r="F351" s="48"/>
      <c r="G351" s="48"/>
      <c r="H351" s="48"/>
      <c r="I351" s="48"/>
      <c r="J351" s="48"/>
      <c r="K351" s="48"/>
      <c r="L351" s="511" t="str">
        <f>IF(L350=0,"Cuadra","no cuadra")</f>
        <v>Cuadra</v>
      </c>
      <c r="M351" s="511" t="str">
        <f t="shared" ref="M351:P351" si="50">IF(M350=0,"Cuadra","no cuadra")</f>
        <v>Cuadra</v>
      </c>
      <c r="N351" s="511" t="str">
        <f t="shared" si="50"/>
        <v>Cuadra</v>
      </c>
      <c r="O351" s="511" t="str">
        <f t="shared" si="50"/>
        <v>Cuadra</v>
      </c>
      <c r="P351" s="511" t="str">
        <f t="shared" si="50"/>
        <v>Cuadra</v>
      </c>
      <c r="Q351" s="48"/>
      <c r="R351" s="47"/>
    </row>
    <row r="352" spans="2:18" s="3" customFormat="1" thickBot="1" x14ac:dyDescent="0.3">
      <c r="B352" s="44"/>
      <c r="C352" s="49" t="s">
        <v>6</v>
      </c>
      <c r="D352" s="317" t="s">
        <v>7</v>
      </c>
      <c r="E352" s="318" t="s">
        <v>103</v>
      </c>
      <c r="F352" s="318" t="s">
        <v>104</v>
      </c>
      <c r="G352" s="318" t="s">
        <v>105</v>
      </c>
      <c r="H352" s="318" t="s">
        <v>106</v>
      </c>
      <c r="I352" s="318" t="s">
        <v>108</v>
      </c>
      <c r="J352" s="319" t="s">
        <v>268</v>
      </c>
      <c r="K352" s="48"/>
      <c r="L352" s="48"/>
      <c r="M352" s="48"/>
      <c r="N352" s="48"/>
      <c r="O352" s="48"/>
      <c r="P352" s="48"/>
      <c r="Q352" s="48"/>
      <c r="R352" s="47"/>
    </row>
    <row r="353" spans="2:18" s="3" customFormat="1" x14ac:dyDescent="0.25">
      <c r="B353" s="44"/>
      <c r="C353" s="325" t="s">
        <v>174</v>
      </c>
      <c r="D353" s="327">
        <f>SUM(D215:O215)</f>
        <v>216000</v>
      </c>
      <c r="E353" s="327">
        <f>D353*(1+D297)</f>
        <v>222480</v>
      </c>
      <c r="F353" s="327">
        <f>E353*(1+E297)</f>
        <v>233604</v>
      </c>
      <c r="G353" s="327">
        <f>F353*(1+F297)</f>
        <v>249956.28000000003</v>
      </c>
      <c r="H353" s="327">
        <f>G353*(1+G297)</f>
        <v>274951.90800000005</v>
      </c>
      <c r="I353" s="316">
        <f t="shared" ref="I353:I375" si="51">IF(AND(ISNUMBER(D353),ISNUMBER(E353),ISNUMBER(F353),ISNUMBER(G353),ISNUMBER(H353)),TREND(D353:H353,D$304:H$304,I$304),"SIN DATOS")</f>
        <v>283012.46640000003</v>
      </c>
      <c r="J353" s="307"/>
      <c r="K353" s="48"/>
      <c r="L353" s="48"/>
      <c r="M353" s="48"/>
      <c r="N353" s="48"/>
      <c r="O353" s="48"/>
      <c r="P353" s="48"/>
      <c r="Q353" s="48"/>
      <c r="R353" s="47"/>
    </row>
    <row r="354" spans="2:18" s="3" customFormat="1" x14ac:dyDescent="0.25">
      <c r="B354" s="44"/>
      <c r="C354" s="304" t="s">
        <v>175</v>
      </c>
      <c r="D354" s="311">
        <v>0</v>
      </c>
      <c r="E354" s="311">
        <v>0</v>
      </c>
      <c r="F354" s="311">
        <v>0</v>
      </c>
      <c r="G354" s="311">
        <v>0</v>
      </c>
      <c r="H354" s="311">
        <v>0</v>
      </c>
      <c r="I354" s="303">
        <f t="shared" si="51"/>
        <v>0</v>
      </c>
      <c r="J354" s="206"/>
      <c r="K354" s="48"/>
      <c r="L354" s="48"/>
      <c r="M354" s="48"/>
      <c r="N354" s="48"/>
      <c r="O354" s="48"/>
      <c r="P354" s="48"/>
      <c r="Q354" s="48"/>
      <c r="R354" s="47"/>
    </row>
    <row r="355" spans="2:18" s="3" customFormat="1" x14ac:dyDescent="0.25">
      <c r="B355" s="44"/>
      <c r="C355" s="304" t="s">
        <v>176</v>
      </c>
      <c r="D355" s="311">
        <v>0</v>
      </c>
      <c r="E355" s="311">
        <v>0</v>
      </c>
      <c r="F355" s="311">
        <v>0</v>
      </c>
      <c r="G355" s="311">
        <v>0</v>
      </c>
      <c r="H355" s="311">
        <v>0</v>
      </c>
      <c r="I355" s="303">
        <f t="shared" si="51"/>
        <v>0</v>
      </c>
      <c r="J355" s="206"/>
      <c r="K355" s="48"/>
      <c r="L355" s="48"/>
      <c r="M355" s="48"/>
      <c r="N355" s="48"/>
      <c r="O355" s="48"/>
      <c r="P355" s="48"/>
      <c r="Q355" s="48"/>
      <c r="R355" s="47"/>
    </row>
    <row r="356" spans="2:18" s="3" customFormat="1" x14ac:dyDescent="0.25">
      <c r="B356" s="44"/>
      <c r="C356" s="304" t="s">
        <v>177</v>
      </c>
      <c r="D356" s="311">
        <f>SUM(D220:O220)</f>
        <v>108000</v>
      </c>
      <c r="E356" s="327">
        <f>D356*(1+D298)</f>
        <v>113400</v>
      </c>
      <c r="F356" s="327">
        <f>E356*(1+E298)</f>
        <v>119070</v>
      </c>
      <c r="G356" s="327">
        <f>F356*(1+F298)</f>
        <v>126214.20000000001</v>
      </c>
      <c r="H356" s="327">
        <f>G356*(1+G298)</f>
        <v>135049.19400000002</v>
      </c>
      <c r="I356" s="303">
        <f t="shared" si="51"/>
        <v>140420.45520000003</v>
      </c>
      <c r="J356" s="206"/>
      <c r="K356" s="48"/>
      <c r="L356" s="48"/>
      <c r="M356" s="48"/>
      <c r="N356" s="48"/>
      <c r="O356" s="48"/>
      <c r="P356" s="48"/>
      <c r="Q356" s="48"/>
      <c r="R356" s="47"/>
    </row>
    <row r="357" spans="2:18" s="3" customFormat="1" x14ac:dyDescent="0.25">
      <c r="B357" s="44"/>
      <c r="C357" s="304" t="s">
        <v>178</v>
      </c>
      <c r="D357" s="311">
        <v>0</v>
      </c>
      <c r="E357" s="311">
        <v>0</v>
      </c>
      <c r="F357" s="311">
        <v>0</v>
      </c>
      <c r="G357" s="311">
        <v>0</v>
      </c>
      <c r="H357" s="311">
        <v>0</v>
      </c>
      <c r="I357" s="303">
        <f t="shared" si="51"/>
        <v>0</v>
      </c>
      <c r="J357" s="206"/>
      <c r="K357" s="48"/>
      <c r="L357" s="48"/>
      <c r="M357" s="48"/>
      <c r="N357" s="48"/>
      <c r="O357" s="48"/>
      <c r="P357" s="48"/>
      <c r="Q357" s="48"/>
      <c r="R357" s="47"/>
    </row>
    <row r="358" spans="2:18" s="3" customFormat="1" x14ac:dyDescent="0.25">
      <c r="B358" s="44"/>
      <c r="C358" s="304" t="s">
        <v>179</v>
      </c>
      <c r="D358" s="311">
        <f>SUM(D221:O221)+SUM(D231:O231)</f>
        <v>63360</v>
      </c>
      <c r="E358" s="327">
        <f t="shared" ref="E358:H359" si="52">D358*(1+D299)</f>
        <v>65260.800000000003</v>
      </c>
      <c r="F358" s="327">
        <f t="shared" si="52"/>
        <v>67218.624000000011</v>
      </c>
      <c r="G358" s="327">
        <f t="shared" si="52"/>
        <v>69235.182720000012</v>
      </c>
      <c r="H358" s="327">
        <f t="shared" si="52"/>
        <v>71312.238201600019</v>
      </c>
      <c r="I358" s="303">
        <f t="shared" si="51"/>
        <v>73241.026721280025</v>
      </c>
      <c r="J358" s="206"/>
      <c r="K358" s="48"/>
      <c r="L358" s="48"/>
      <c r="M358" s="48"/>
      <c r="N358" s="48"/>
      <c r="O358" s="48"/>
      <c r="P358" s="48"/>
      <c r="Q358" s="48"/>
      <c r="R358" s="47"/>
    </row>
    <row r="359" spans="2:18" s="3" customFormat="1" x14ac:dyDescent="0.25">
      <c r="B359" s="44"/>
      <c r="C359" s="304" t="s">
        <v>180</v>
      </c>
      <c r="D359" s="311">
        <f>E107+D129+SUM(D222:O227)</f>
        <v>28080</v>
      </c>
      <c r="E359" s="327">
        <f>D359*(1+D300)-SUM(E107+D129)</f>
        <v>23503.200000000001</v>
      </c>
      <c r="F359" s="327">
        <f>E359*(1+E300)</f>
        <v>23973.264000000003</v>
      </c>
      <c r="G359" s="327">
        <f t="shared" si="52"/>
        <v>24212.996640000005</v>
      </c>
      <c r="H359" s="327">
        <f t="shared" si="52"/>
        <v>24455.126606400005</v>
      </c>
      <c r="I359" s="303">
        <f t="shared" si="51"/>
        <v>22882.932405120006</v>
      </c>
      <c r="J359" s="206"/>
      <c r="K359" s="48"/>
      <c r="L359" s="48"/>
      <c r="M359" s="48"/>
      <c r="N359" s="48"/>
      <c r="O359" s="48"/>
      <c r="P359" s="48"/>
      <c r="Q359" s="48"/>
      <c r="R359" s="47"/>
    </row>
    <row r="360" spans="2:18" s="3" customFormat="1" x14ac:dyDescent="0.25">
      <c r="B360" s="44"/>
      <c r="C360" s="304" t="s">
        <v>181</v>
      </c>
      <c r="D360" s="311">
        <f>SUM($D132:$D136)-SUM(D307:D308)</f>
        <v>960</v>
      </c>
      <c r="E360" s="311">
        <f>SUM(D307:D308)-SUM(E307:E308)</f>
        <v>960</v>
      </c>
      <c r="F360" s="311">
        <f t="shared" ref="F360" si="53">SUM(E307:E308)-SUM(F307:F308)</f>
        <v>960</v>
      </c>
      <c r="G360" s="311">
        <f>SUM(F307:F308)-SUM(G307:G308)</f>
        <v>960</v>
      </c>
      <c r="H360" s="311">
        <f>SUM(G307:G308)-SUM(H307:H308)</f>
        <v>810</v>
      </c>
      <c r="I360" s="303">
        <f t="shared" si="51"/>
        <v>840</v>
      </c>
      <c r="J360" s="206"/>
      <c r="K360" s="48"/>
      <c r="L360" s="48"/>
      <c r="M360" s="48"/>
      <c r="N360" s="48"/>
      <c r="O360" s="48"/>
      <c r="P360" s="48"/>
      <c r="Q360" s="48"/>
      <c r="R360" s="47"/>
    </row>
    <row r="361" spans="2:18" s="3" customFormat="1" x14ac:dyDescent="0.25">
      <c r="B361" s="44"/>
      <c r="C361" s="304" t="s">
        <v>183</v>
      </c>
      <c r="D361" s="311"/>
      <c r="E361" s="311"/>
      <c r="F361" s="311"/>
      <c r="G361" s="311"/>
      <c r="H361" s="311"/>
      <c r="I361" s="303" t="str">
        <f t="shared" si="51"/>
        <v>SIN DATOS</v>
      </c>
      <c r="J361" s="206"/>
      <c r="K361" s="48"/>
      <c r="L361" s="48"/>
      <c r="M361" s="48"/>
      <c r="N361" s="48"/>
      <c r="O361" s="48"/>
      <c r="P361" s="48"/>
      <c r="Q361" s="48"/>
      <c r="R361" s="47"/>
    </row>
    <row r="362" spans="2:18" s="3" customFormat="1" x14ac:dyDescent="0.25">
      <c r="B362" s="44"/>
      <c r="C362" s="304" t="s">
        <v>184</v>
      </c>
      <c r="D362" s="311"/>
      <c r="E362" s="311"/>
      <c r="F362" s="311"/>
      <c r="G362" s="311"/>
      <c r="H362" s="311"/>
      <c r="I362" s="303" t="str">
        <f t="shared" si="51"/>
        <v>SIN DATOS</v>
      </c>
      <c r="J362" s="206"/>
      <c r="K362" s="48"/>
      <c r="L362" s="48"/>
      <c r="M362" s="48"/>
      <c r="N362" s="48"/>
      <c r="O362" s="48"/>
      <c r="P362" s="48"/>
      <c r="Q362" s="48"/>
      <c r="R362" s="47"/>
    </row>
    <row r="363" spans="2:18" s="3" customFormat="1" x14ac:dyDescent="0.25">
      <c r="B363" s="44"/>
      <c r="C363" s="304" t="s">
        <v>185</v>
      </c>
      <c r="D363" s="311"/>
      <c r="E363" s="311"/>
      <c r="F363" s="311"/>
      <c r="G363" s="311"/>
      <c r="H363" s="311"/>
      <c r="I363" s="303" t="str">
        <f t="shared" si="51"/>
        <v>SIN DATOS</v>
      </c>
      <c r="J363" s="206"/>
      <c r="K363" s="48"/>
      <c r="L363" s="48"/>
      <c r="M363" s="48"/>
      <c r="N363" s="48"/>
      <c r="O363" s="48"/>
      <c r="P363" s="48"/>
      <c r="Q363" s="48"/>
      <c r="R363" s="47"/>
    </row>
    <row r="364" spans="2:18" s="3" customFormat="1" x14ac:dyDescent="0.25">
      <c r="B364" s="44"/>
      <c r="C364" s="313" t="s">
        <v>186</v>
      </c>
      <c r="D364" s="310">
        <f>D353+D357-SUM(D354:D356)-SUM(D358:D363)</f>
        <v>15600</v>
      </c>
      <c r="E364" s="310">
        <f t="shared" ref="E364:H364" si="54">E353+E357-SUM(E354:E356)-SUM(E358:E363)</f>
        <v>19356</v>
      </c>
      <c r="F364" s="310">
        <f t="shared" si="54"/>
        <v>22382.111999999994</v>
      </c>
      <c r="G364" s="310">
        <f t="shared" si="54"/>
        <v>29333.900640000007</v>
      </c>
      <c r="H364" s="310">
        <f t="shared" si="54"/>
        <v>43325.349192000009</v>
      </c>
      <c r="I364" s="303">
        <f t="shared" si="51"/>
        <v>45628.052073600018</v>
      </c>
      <c r="J364" s="206"/>
      <c r="K364" s="48"/>
      <c r="L364" s="48"/>
      <c r="M364" s="48"/>
      <c r="N364" s="48"/>
      <c r="O364" s="48"/>
      <c r="P364" s="48"/>
      <c r="Q364" s="48"/>
      <c r="R364" s="47"/>
    </row>
    <row r="365" spans="2:18" s="3" customFormat="1" x14ac:dyDescent="0.25">
      <c r="B365" s="44"/>
      <c r="C365" s="304" t="s">
        <v>187</v>
      </c>
      <c r="D365" s="311"/>
      <c r="E365" s="311"/>
      <c r="F365" s="311"/>
      <c r="G365" s="311"/>
      <c r="H365" s="311"/>
      <c r="I365" s="303" t="str">
        <f t="shared" si="51"/>
        <v>SIN DATOS</v>
      </c>
      <c r="J365" s="206"/>
      <c r="K365" s="48"/>
      <c r="L365" s="48"/>
      <c r="M365" s="48"/>
      <c r="N365" s="48"/>
      <c r="O365" s="48"/>
      <c r="P365" s="48"/>
      <c r="Q365" s="48"/>
      <c r="R365" s="47"/>
    </row>
    <row r="366" spans="2:18" s="3" customFormat="1" x14ac:dyDescent="0.25">
      <c r="B366" s="44"/>
      <c r="C366" s="304" t="s">
        <v>182</v>
      </c>
      <c r="D366" s="311">
        <f>SUM(D229:O229)</f>
        <v>292.78534313049511</v>
      </c>
      <c r="E366" s="311">
        <f>SUM(U214:AF214)</f>
        <v>234.93520679033745</v>
      </c>
      <c r="F366" s="311">
        <f>SUM(U219:AF219)</f>
        <v>173.51700062465579</v>
      </c>
      <c r="G366" s="311">
        <f>SUM(U224:AF224)</f>
        <v>108.31065389403217</v>
      </c>
      <c r="H366" s="311">
        <f>SUM(U229:AF229)</f>
        <v>39.082522377385843</v>
      </c>
      <c r="I366" s="303">
        <f t="shared" si="51"/>
        <v>-20.482912957375845</v>
      </c>
      <c r="J366" s="206"/>
      <c r="K366" s="48"/>
      <c r="L366" s="48"/>
      <c r="M366" s="48"/>
      <c r="N366" s="48"/>
      <c r="O366" s="48"/>
      <c r="P366" s="48"/>
      <c r="Q366" s="48"/>
      <c r="R366" s="47"/>
    </row>
    <row r="367" spans="2:18" s="3" customFormat="1" x14ac:dyDescent="0.25">
      <c r="B367" s="44"/>
      <c r="C367" s="304" t="s">
        <v>188</v>
      </c>
      <c r="D367" s="311"/>
      <c r="E367" s="311"/>
      <c r="F367" s="311"/>
      <c r="G367" s="311"/>
      <c r="H367" s="311"/>
      <c r="I367" s="303" t="str">
        <f t="shared" si="51"/>
        <v>SIN DATOS</v>
      </c>
      <c r="J367" s="206"/>
      <c r="K367" s="48"/>
      <c r="L367" s="48"/>
      <c r="M367" s="48"/>
      <c r="N367" s="48"/>
      <c r="O367" s="48"/>
      <c r="P367" s="48"/>
      <c r="Q367" s="48"/>
      <c r="R367" s="47"/>
    </row>
    <row r="368" spans="2:18" s="3" customFormat="1" x14ac:dyDescent="0.25">
      <c r="B368" s="44"/>
      <c r="C368" s="304" t="s">
        <v>189</v>
      </c>
      <c r="D368" s="311"/>
      <c r="E368" s="311"/>
      <c r="F368" s="311"/>
      <c r="G368" s="311"/>
      <c r="H368" s="311"/>
      <c r="I368" s="303" t="str">
        <f t="shared" si="51"/>
        <v>SIN DATOS</v>
      </c>
      <c r="J368" s="206"/>
      <c r="K368" s="48"/>
      <c r="L368" s="48"/>
      <c r="M368" s="48"/>
      <c r="N368" s="48"/>
      <c r="O368" s="48"/>
      <c r="P368" s="48"/>
      <c r="Q368" s="48"/>
      <c r="R368" s="47"/>
    </row>
    <row r="369" spans="2:18" s="3" customFormat="1" x14ac:dyDescent="0.25">
      <c r="B369" s="44"/>
      <c r="C369" s="304" t="s">
        <v>253</v>
      </c>
      <c r="D369" s="311"/>
      <c r="E369" s="311"/>
      <c r="F369" s="311"/>
      <c r="G369" s="311"/>
      <c r="H369" s="311"/>
      <c r="I369" s="303" t="str">
        <f t="shared" si="51"/>
        <v>SIN DATOS</v>
      </c>
      <c r="J369" s="206"/>
      <c r="K369" s="48"/>
      <c r="L369" s="48"/>
      <c r="M369" s="48"/>
      <c r="N369" s="48"/>
      <c r="O369" s="48"/>
      <c r="P369" s="48"/>
      <c r="Q369" s="48"/>
      <c r="R369" s="47"/>
    </row>
    <row r="370" spans="2:18" s="3" customFormat="1" x14ac:dyDescent="0.25">
      <c r="B370" s="44"/>
      <c r="C370" s="313" t="s">
        <v>190</v>
      </c>
      <c r="D370" s="310">
        <f>D365-D366+D367+D368+D369</f>
        <v>-292.78534313049511</v>
      </c>
      <c r="E370" s="310">
        <f>E365-E366+E367+E368+E369</f>
        <v>-234.93520679033745</v>
      </c>
      <c r="F370" s="310">
        <f>F365-F366+F367+F368+F369</f>
        <v>-173.51700062465579</v>
      </c>
      <c r="G370" s="310">
        <f>G365-G366+G367+G368+G369</f>
        <v>-108.31065389403217</v>
      </c>
      <c r="H370" s="310">
        <f>H365-H366+H367+H368+H369</f>
        <v>-39.082522377385843</v>
      </c>
      <c r="I370" s="303">
        <f t="shared" si="51"/>
        <v>20.482912957375845</v>
      </c>
      <c r="J370" s="206"/>
      <c r="K370" s="48"/>
      <c r="L370" s="48"/>
      <c r="M370" s="48"/>
      <c r="N370" s="48"/>
      <c r="O370" s="48"/>
      <c r="P370" s="48"/>
      <c r="Q370" s="48"/>
      <c r="R370" s="47"/>
    </row>
    <row r="371" spans="2:18" s="3" customFormat="1" x14ac:dyDescent="0.25">
      <c r="B371" s="44"/>
      <c r="C371" s="313" t="s">
        <v>191</v>
      </c>
      <c r="D371" s="310">
        <f>D364+D370</f>
        <v>15307.214656869504</v>
      </c>
      <c r="E371" s="310">
        <f>E364+E370</f>
        <v>19121.064793209662</v>
      </c>
      <c r="F371" s="310">
        <f>F364+F370</f>
        <v>22208.594999375338</v>
      </c>
      <c r="G371" s="310">
        <f>G364+G370</f>
        <v>29225.589986105973</v>
      </c>
      <c r="H371" s="310">
        <f>H364+H370</f>
        <v>43286.266669622622</v>
      </c>
      <c r="I371" s="303">
        <f t="shared" si="51"/>
        <v>45648.534986557381</v>
      </c>
      <c r="J371" s="206"/>
      <c r="K371" s="48"/>
      <c r="L371" s="48"/>
      <c r="M371" s="48"/>
      <c r="N371" s="48"/>
      <c r="O371" s="48"/>
      <c r="P371" s="48"/>
      <c r="Q371" s="48"/>
      <c r="R371" s="47"/>
    </row>
    <row r="372" spans="2:18" s="3" customFormat="1" x14ac:dyDescent="0.25">
      <c r="B372" s="44"/>
      <c r="C372" s="304" t="s">
        <v>192</v>
      </c>
      <c r="D372" s="311">
        <f>0.25*D371</f>
        <v>3826.8036642173761</v>
      </c>
      <c r="E372" s="311">
        <f>0.25*E371</f>
        <v>4780.2661983024154</v>
      </c>
      <c r="F372" s="311">
        <f t="shared" ref="F372:H372" si="55">0.25*F371</f>
        <v>5552.1487498438346</v>
      </c>
      <c r="G372" s="311">
        <f t="shared" si="55"/>
        <v>7306.3974965264933</v>
      </c>
      <c r="H372" s="311">
        <f t="shared" si="55"/>
        <v>10821.566667405656</v>
      </c>
      <c r="I372" s="303">
        <f t="shared" si="51"/>
        <v>11412.133746639345</v>
      </c>
      <c r="J372" s="206"/>
      <c r="K372" s="48"/>
      <c r="L372" s="48"/>
      <c r="M372" s="48"/>
      <c r="N372" s="48"/>
      <c r="O372" s="48"/>
      <c r="P372" s="48"/>
      <c r="Q372" s="48"/>
      <c r="R372" s="47"/>
    </row>
    <row r="373" spans="2:18" s="3" customFormat="1" x14ac:dyDescent="0.25">
      <c r="B373" s="44"/>
      <c r="C373" s="313" t="s">
        <v>193</v>
      </c>
      <c r="D373" s="310">
        <f>D371-D372</f>
        <v>11480.410992652129</v>
      </c>
      <c r="E373" s="310">
        <f>E371-E372</f>
        <v>14340.798594907246</v>
      </c>
      <c r="F373" s="310">
        <f>F371-F372</f>
        <v>16656.446249531502</v>
      </c>
      <c r="G373" s="310">
        <f>G371-G372</f>
        <v>21919.19248957948</v>
      </c>
      <c r="H373" s="310">
        <f>H371-H372</f>
        <v>32464.700002216967</v>
      </c>
      <c r="I373" s="303">
        <f t="shared" si="51"/>
        <v>34236.401239918036</v>
      </c>
      <c r="J373" s="206"/>
      <c r="K373" s="48"/>
      <c r="L373" s="48"/>
      <c r="M373" s="48"/>
      <c r="N373" s="48"/>
      <c r="O373" s="48"/>
      <c r="P373" s="48"/>
      <c r="Q373" s="48"/>
      <c r="R373" s="47"/>
    </row>
    <row r="374" spans="2:18" s="3" customFormat="1" x14ac:dyDescent="0.25">
      <c r="B374" s="44"/>
      <c r="C374" s="304" t="s">
        <v>558</v>
      </c>
      <c r="D374" s="310">
        <f>0.25*D373</f>
        <v>2870.1027481630322</v>
      </c>
      <c r="E374" s="310">
        <f>0.25*E373</f>
        <v>3585.1996487268116</v>
      </c>
      <c r="F374" s="310">
        <f t="shared" ref="F374:H374" si="56">0.25*F373</f>
        <v>4164.1115623828755</v>
      </c>
      <c r="G374" s="310">
        <f t="shared" si="56"/>
        <v>5479.79812239487</v>
      </c>
      <c r="H374" s="310">
        <f t="shared" si="56"/>
        <v>8116.1750005542417</v>
      </c>
      <c r="I374" s="303">
        <f t="shared" si="51"/>
        <v>8559.1003099795089</v>
      </c>
      <c r="J374" s="206"/>
      <c r="K374" s="48"/>
      <c r="L374" s="48"/>
      <c r="M374" s="48"/>
      <c r="N374" s="48"/>
      <c r="O374" s="48"/>
      <c r="P374" s="48"/>
      <c r="Q374" s="48"/>
      <c r="R374" s="47"/>
    </row>
    <row r="375" spans="2:18" s="3" customFormat="1" ht="16.5" thickBot="1" x14ac:dyDescent="0.3">
      <c r="B375" s="44"/>
      <c r="C375" s="305" t="s">
        <v>609</v>
      </c>
      <c r="D375" s="326">
        <f>D373-D374</f>
        <v>8610.308244489097</v>
      </c>
      <c r="E375" s="326">
        <f t="shared" ref="E375:H375" si="57">E373-E374</f>
        <v>10755.598946180435</v>
      </c>
      <c r="F375" s="326">
        <f t="shared" si="57"/>
        <v>12492.334687148626</v>
      </c>
      <c r="G375" s="326">
        <f t="shared" si="57"/>
        <v>16439.39436718461</v>
      </c>
      <c r="H375" s="326">
        <f t="shared" si="57"/>
        <v>24348.525001662725</v>
      </c>
      <c r="I375" s="306">
        <f t="shared" si="51"/>
        <v>25677.300929938523</v>
      </c>
      <c r="J375" s="208"/>
      <c r="K375" s="48"/>
      <c r="L375" s="48"/>
      <c r="M375" s="48"/>
      <c r="N375" s="48"/>
      <c r="O375" s="48"/>
      <c r="P375" s="48"/>
      <c r="Q375" s="48"/>
      <c r="R375" s="47"/>
    </row>
    <row r="376" spans="2:18" s="3" customFormat="1" thickBot="1" x14ac:dyDescent="0.3">
      <c r="B376" s="44"/>
      <c r="C376" s="48"/>
      <c r="D376" s="170"/>
      <c r="E376" s="170"/>
      <c r="F376" s="170"/>
      <c r="G376" s="170"/>
      <c r="H376" s="170"/>
      <c r="I376" s="48"/>
      <c r="J376" s="48"/>
      <c r="K376" s="48"/>
      <c r="L376" s="48"/>
      <c r="M376" s="48"/>
      <c r="N376" s="48"/>
      <c r="O376" s="48"/>
      <c r="P376" s="48"/>
      <c r="Q376" s="48"/>
      <c r="R376" s="47"/>
    </row>
    <row r="377" spans="2:18" s="3" customFormat="1" thickBot="1" x14ac:dyDescent="0.3">
      <c r="B377" s="44"/>
      <c r="C377" s="49" t="s">
        <v>70</v>
      </c>
      <c r="D377" s="317" t="s">
        <v>7</v>
      </c>
      <c r="E377" s="318" t="s">
        <v>103</v>
      </c>
      <c r="F377" s="318" t="s">
        <v>104</v>
      </c>
      <c r="G377" s="318" t="s">
        <v>105</v>
      </c>
      <c r="H377" s="318" t="s">
        <v>106</v>
      </c>
      <c r="I377" s="318" t="s">
        <v>108</v>
      </c>
      <c r="J377" s="319" t="s">
        <v>268</v>
      </c>
      <c r="K377" s="48"/>
      <c r="L377" s="48"/>
      <c r="M377" s="48"/>
      <c r="N377" s="48"/>
      <c r="O377" s="48"/>
      <c r="P377" s="48"/>
      <c r="Q377" s="48"/>
      <c r="R377" s="47"/>
    </row>
    <row r="378" spans="2:18" s="3" customFormat="1" x14ac:dyDescent="0.25">
      <c r="B378" s="44"/>
      <c r="C378" s="325" t="s">
        <v>58</v>
      </c>
      <c r="D378" s="331">
        <v>4</v>
      </c>
      <c r="E378" s="331">
        <v>4</v>
      </c>
      <c r="F378" s="331">
        <v>4</v>
      </c>
      <c r="G378" s="331">
        <v>4</v>
      </c>
      <c r="H378" s="331">
        <v>4</v>
      </c>
      <c r="I378" s="316">
        <f>IF(AND(ISNUMBER(D378),ISNUMBER(E378),ISNUMBER(F378),ISNUMBER(G378),ISNUMBER(H378)),TREND(D378:H378,D$304:H$304,I$304),"SIN DATOS")</f>
        <v>4</v>
      </c>
      <c r="J378" s="307"/>
      <c r="K378" s="48"/>
      <c r="L378" s="48"/>
      <c r="M378" s="48"/>
      <c r="N378" s="48"/>
      <c r="O378" s="48"/>
      <c r="P378" s="48"/>
      <c r="Q378" s="48"/>
      <c r="R378" s="47"/>
    </row>
    <row r="379" spans="2:18" s="3" customFormat="1" x14ac:dyDescent="0.25">
      <c r="B379" s="44"/>
      <c r="C379" s="304" t="s">
        <v>117</v>
      </c>
      <c r="D379" s="269">
        <v>1</v>
      </c>
      <c r="E379" s="269">
        <v>1</v>
      </c>
      <c r="F379" s="269">
        <v>1</v>
      </c>
      <c r="G379" s="269">
        <v>1</v>
      </c>
      <c r="H379" s="269">
        <v>1</v>
      </c>
      <c r="I379" s="303">
        <f>IF(AND(ISNUMBER(D379),ISNUMBER(E379),ISNUMBER(F379),ISNUMBER(G379),ISNUMBER(H379)),TREND(D379:H379,D$304:H$304,I$304),"SIN DATOS")</f>
        <v>1</v>
      </c>
      <c r="J379" s="206"/>
      <c r="K379" s="48"/>
      <c r="L379" s="48"/>
      <c r="M379" s="48"/>
      <c r="N379" s="48"/>
      <c r="O379" s="48"/>
      <c r="P379" s="48"/>
      <c r="Q379" s="48"/>
      <c r="R379" s="47"/>
    </row>
    <row r="380" spans="2:18" s="3" customFormat="1" x14ac:dyDescent="0.25">
      <c r="B380" s="44"/>
      <c r="C380" s="304" t="s">
        <v>204</v>
      </c>
      <c r="D380" s="269"/>
      <c r="E380" s="269"/>
      <c r="F380" s="269"/>
      <c r="G380" s="269"/>
      <c r="H380" s="269"/>
      <c r="I380" s="303" t="str">
        <f>IF(AND(ISNUMBER(D380),ISNUMBER(E380),ISNUMBER(F380),ISNUMBER(G380),ISNUMBER(H380)),TREND(D380:H380,D$304:H$304,I$304),"SIN DATOS")</f>
        <v>SIN DATOS</v>
      </c>
      <c r="J380" s="206"/>
      <c r="K380" s="48"/>
      <c r="L380" s="48"/>
      <c r="M380" s="48"/>
      <c r="N380" s="48"/>
      <c r="O380" s="48"/>
      <c r="P380" s="48"/>
      <c r="Q380" s="48"/>
      <c r="R380" s="47"/>
    </row>
    <row r="381" spans="2:18" s="3" customFormat="1" ht="16.5" thickBot="1" x14ac:dyDescent="0.3">
      <c r="B381" s="44"/>
      <c r="C381" s="305" t="s">
        <v>203</v>
      </c>
      <c r="D381" s="314"/>
      <c r="E381" s="314"/>
      <c r="F381" s="314"/>
      <c r="G381" s="314"/>
      <c r="H381" s="314"/>
      <c r="I381" s="306" t="str">
        <f>IF(AND(ISNUMBER(D381),ISNUMBER(E381),ISNUMBER(F381),ISNUMBER(G381),ISNUMBER(H381)),TREND(D381:H381,D$304:H$304,I$304),"SIN DATOS")</f>
        <v>SIN DATOS</v>
      </c>
      <c r="J381" s="208"/>
      <c r="K381" s="48"/>
      <c r="L381" s="48"/>
      <c r="M381" s="48"/>
      <c r="N381" s="48"/>
      <c r="O381" s="48"/>
      <c r="P381" s="48"/>
      <c r="Q381" s="48"/>
      <c r="R381" s="47"/>
    </row>
    <row r="382" spans="2:18" s="3" customFormat="1" ht="16.5" thickBot="1" x14ac:dyDescent="0.3">
      <c r="B382" s="44"/>
      <c r="C382" s="328" t="s">
        <v>118</v>
      </c>
      <c r="D382" s="329" t="s">
        <v>456</v>
      </c>
      <c r="E382" s="330"/>
      <c r="F382" s="26"/>
      <c r="G382" s="26"/>
      <c r="H382" s="26"/>
      <c r="I382" s="26"/>
      <c r="J382" s="26"/>
      <c r="K382" s="48"/>
      <c r="L382" s="48"/>
      <c r="M382" s="48"/>
      <c r="N382" s="48"/>
      <c r="O382" s="48"/>
      <c r="P382" s="48"/>
      <c r="Q382" s="48"/>
      <c r="R382" s="47"/>
    </row>
    <row r="383" spans="2:18" s="3" customFormat="1" ht="16.5" thickBot="1" x14ac:dyDescent="0.3">
      <c r="B383" s="44"/>
      <c r="C383" s="328" t="s">
        <v>207</v>
      </c>
      <c r="D383" s="330">
        <v>4771</v>
      </c>
      <c r="E383" s="26" t="s">
        <v>152</v>
      </c>
      <c r="F383" s="48"/>
      <c r="G383" s="48"/>
      <c r="H383" s="48"/>
      <c r="I383" s="48"/>
      <c r="J383" s="48"/>
      <c r="K383" s="48"/>
      <c r="L383" s="48"/>
      <c r="M383" s="48"/>
      <c r="N383" s="48"/>
      <c r="O383" s="48"/>
      <c r="P383" s="48"/>
      <c r="Q383" s="48"/>
      <c r="R383" s="47"/>
    </row>
    <row r="384" spans="2:18" ht="16.5" thickBot="1" x14ac:dyDescent="0.3">
      <c r="B384" s="33"/>
      <c r="C384" s="28"/>
      <c r="D384" s="29"/>
      <c r="E384" s="30"/>
      <c r="F384" s="30"/>
      <c r="G384" s="30"/>
      <c r="H384" s="30"/>
      <c r="I384" s="30"/>
      <c r="J384" s="30"/>
      <c r="K384" s="30"/>
      <c r="L384" s="30"/>
      <c r="M384" s="30"/>
      <c r="N384" s="30"/>
      <c r="O384" s="30"/>
      <c r="P384" s="30"/>
      <c r="Q384" s="30"/>
      <c r="R384" s="31"/>
    </row>
    <row r="385" spans="2:18" thickBot="1" x14ac:dyDescent="0.3">
      <c r="B385" s="131"/>
      <c r="C385" s="131"/>
      <c r="D385" s="131"/>
    </row>
    <row r="386" spans="2:18" ht="21.75" thickBot="1" x14ac:dyDescent="0.4">
      <c r="B386" s="282" t="s">
        <v>628</v>
      </c>
      <c r="C386" s="289"/>
      <c r="D386" s="280"/>
      <c r="E386" s="280"/>
      <c r="F386" s="280"/>
      <c r="G386" s="280"/>
      <c r="H386" s="280"/>
      <c r="I386" s="280"/>
      <c r="J386" s="280"/>
      <c r="K386" s="280"/>
      <c r="L386" s="280"/>
      <c r="M386" s="280"/>
      <c r="N386" s="280"/>
      <c r="O386" s="280"/>
      <c r="P386" s="280"/>
      <c r="Q386" s="280"/>
      <c r="R386" s="281"/>
    </row>
    <row r="387" spans="2:18" x14ac:dyDescent="0.25">
      <c r="B387" s="32"/>
      <c r="C387" s="26"/>
      <c r="D387" s="143"/>
      <c r="E387" s="26"/>
      <c r="F387" s="26"/>
      <c r="G387" s="26"/>
      <c r="H387" s="26"/>
      <c r="I387" s="26"/>
      <c r="J387" s="26"/>
      <c r="K387" s="26"/>
      <c r="L387" s="26"/>
      <c r="M387" s="26"/>
      <c r="N387" s="26"/>
      <c r="O387" s="26"/>
      <c r="P387" s="26"/>
      <c r="Q387" s="26"/>
      <c r="R387" s="27"/>
    </row>
    <row r="388" spans="2:18" x14ac:dyDescent="0.25">
      <c r="B388" s="32"/>
      <c r="C388" s="26"/>
      <c r="D388" s="143"/>
      <c r="E388" s="26"/>
      <c r="F388" s="26"/>
      <c r="G388" s="26"/>
      <c r="H388" s="26"/>
      <c r="I388" s="26"/>
      <c r="J388" s="26"/>
      <c r="K388" s="26"/>
      <c r="L388" s="26"/>
      <c r="M388" s="26"/>
      <c r="N388" s="26"/>
      <c r="O388" s="26"/>
      <c r="P388" s="26"/>
      <c r="Q388" s="26"/>
      <c r="R388" s="27"/>
    </row>
    <row r="389" spans="2:18" x14ac:dyDescent="0.25">
      <c r="B389" s="32"/>
      <c r="C389" s="26"/>
      <c r="D389" s="143"/>
      <c r="E389" s="26"/>
      <c r="F389" s="26"/>
      <c r="G389" s="26"/>
      <c r="H389" s="26"/>
      <c r="I389" s="26"/>
      <c r="J389" s="26"/>
      <c r="K389" s="26"/>
      <c r="L389" s="26"/>
      <c r="M389" s="26"/>
      <c r="N389" s="26"/>
      <c r="O389" s="26"/>
      <c r="P389" s="26"/>
      <c r="Q389" s="26"/>
      <c r="R389" s="27"/>
    </row>
    <row r="390" spans="2:18" x14ac:dyDescent="0.25">
      <c r="B390" s="32"/>
      <c r="C390" s="26"/>
      <c r="D390" s="143"/>
      <c r="E390" s="26"/>
      <c r="F390" s="26"/>
      <c r="G390" s="26"/>
      <c r="H390" s="26"/>
      <c r="I390" s="26"/>
      <c r="J390" s="26"/>
      <c r="K390" s="26"/>
      <c r="L390" s="26"/>
      <c r="M390" s="26"/>
      <c r="N390" s="26"/>
      <c r="O390" s="26"/>
      <c r="P390" s="26"/>
      <c r="Q390" s="26"/>
      <c r="R390" s="27"/>
    </row>
    <row r="391" spans="2:18" x14ac:dyDescent="0.25">
      <c r="B391" s="32"/>
      <c r="C391" s="26"/>
      <c r="D391" s="143"/>
      <c r="E391" s="26"/>
      <c r="F391" s="26"/>
      <c r="G391" s="26"/>
      <c r="H391" s="26"/>
      <c r="I391" s="26"/>
      <c r="J391" s="26"/>
      <c r="K391" s="26"/>
      <c r="L391" s="26"/>
      <c r="M391" s="26"/>
      <c r="N391" s="26"/>
      <c r="O391" s="26"/>
      <c r="P391" s="26"/>
      <c r="Q391" s="26"/>
      <c r="R391" s="27"/>
    </row>
    <row r="392" spans="2:18" x14ac:dyDescent="0.25">
      <c r="B392" s="32"/>
      <c r="C392" s="26"/>
      <c r="D392" s="143"/>
      <c r="E392" s="26"/>
      <c r="F392" s="26"/>
      <c r="G392" s="26"/>
      <c r="H392" s="26"/>
      <c r="I392" s="26"/>
      <c r="J392" s="26"/>
      <c r="K392" s="26"/>
      <c r="L392" s="26"/>
      <c r="M392" s="26"/>
      <c r="N392" s="26"/>
      <c r="O392" s="26"/>
      <c r="P392" s="26"/>
      <c r="Q392" s="26"/>
      <c r="R392" s="27"/>
    </row>
    <row r="393" spans="2:18" x14ac:dyDescent="0.25">
      <c r="B393" s="32"/>
      <c r="C393" s="26"/>
      <c r="D393" s="143"/>
      <c r="E393" s="26"/>
      <c r="F393" s="26"/>
      <c r="G393" s="26"/>
      <c r="H393" s="26"/>
      <c r="I393" s="26"/>
      <c r="J393" s="26"/>
      <c r="K393" s="26"/>
      <c r="L393" s="26"/>
      <c r="M393" s="26"/>
      <c r="N393" s="26"/>
      <c r="O393" s="26"/>
      <c r="P393" s="26"/>
      <c r="Q393" s="26"/>
      <c r="R393" s="27"/>
    </row>
    <row r="394" spans="2:18" x14ac:dyDescent="0.25">
      <c r="B394" s="32"/>
      <c r="C394" s="26"/>
      <c r="D394" s="143"/>
      <c r="E394" s="26"/>
      <c r="F394" s="26"/>
      <c r="G394" s="26"/>
      <c r="H394" s="26"/>
      <c r="I394" s="26"/>
      <c r="J394" s="26"/>
      <c r="K394" s="26"/>
      <c r="L394" s="26"/>
      <c r="M394" s="26"/>
      <c r="N394" s="26"/>
      <c r="O394" s="26"/>
      <c r="P394" s="26"/>
      <c r="Q394" s="26"/>
      <c r="R394" s="27"/>
    </row>
    <row r="395" spans="2:18" ht="16.5" thickBot="1" x14ac:dyDescent="0.3">
      <c r="B395" s="32"/>
      <c r="C395" s="26"/>
      <c r="D395" s="143"/>
      <c r="E395" s="26"/>
      <c r="F395" s="26"/>
      <c r="G395" s="26"/>
      <c r="H395" s="26"/>
      <c r="I395" s="26"/>
      <c r="J395" s="26"/>
      <c r="K395" s="26"/>
      <c r="L395" s="26"/>
      <c r="M395" s="26"/>
      <c r="N395" s="26"/>
      <c r="O395" s="26"/>
      <c r="P395" s="26"/>
      <c r="Q395" s="26"/>
      <c r="R395" s="27"/>
    </row>
    <row r="396" spans="2:18" ht="19.5" thickBot="1" x14ac:dyDescent="0.35">
      <c r="B396" s="32"/>
      <c r="C396" s="289" t="s">
        <v>628</v>
      </c>
      <c r="D396" s="275"/>
      <c r="E396" s="275"/>
      <c r="F396" s="275"/>
      <c r="G396" s="275"/>
      <c r="H396" s="275"/>
      <c r="I396" s="275"/>
      <c r="J396" s="275"/>
      <c r="K396" s="275"/>
      <c r="L396" s="275"/>
      <c r="M396" s="275"/>
      <c r="N396" s="275"/>
      <c r="O396" s="275"/>
      <c r="P396" s="275"/>
      <c r="Q396" s="275"/>
      <c r="R396" s="277"/>
    </row>
    <row r="397" spans="2:18" ht="15" x14ac:dyDescent="0.25">
      <c r="B397" s="32"/>
      <c r="C397" s="26"/>
      <c r="D397" s="89" t="s">
        <v>624</v>
      </c>
      <c r="E397" s="89" t="s">
        <v>464</v>
      </c>
      <c r="F397" s="89" t="s">
        <v>588</v>
      </c>
      <c r="G397" s="275"/>
      <c r="H397" s="275"/>
      <c r="I397" s="275"/>
      <c r="J397" s="275"/>
      <c r="K397" s="275"/>
      <c r="L397" s="275"/>
      <c r="M397" s="275"/>
      <c r="N397" s="275"/>
      <c r="O397" s="275"/>
      <c r="P397" s="275"/>
      <c r="Q397" s="275"/>
      <c r="R397" s="277"/>
    </row>
    <row r="398" spans="2:18" ht="15" x14ac:dyDescent="0.25">
      <c r="B398" s="32"/>
      <c r="C398" s="26"/>
      <c r="D398" s="283">
        <v>0</v>
      </c>
      <c r="E398" s="283">
        <f>H353</f>
        <v>274951.90800000005</v>
      </c>
      <c r="F398" s="283">
        <f>H354</f>
        <v>0</v>
      </c>
      <c r="G398" s="278"/>
      <c r="H398" s="278"/>
      <c r="I398" s="278"/>
      <c r="J398" s="278"/>
      <c r="K398" s="278"/>
      <c r="L398" s="278"/>
      <c r="M398" s="278"/>
      <c r="N398" s="278"/>
      <c r="O398" s="278"/>
      <c r="P398" s="278"/>
      <c r="Q398" s="278"/>
      <c r="R398" s="279"/>
    </row>
    <row r="399" spans="2:18" ht="15" x14ac:dyDescent="0.25">
      <c r="B399" s="32"/>
      <c r="C399" s="26"/>
      <c r="D399" s="275"/>
      <c r="E399" s="275"/>
      <c r="F399" s="275"/>
      <c r="G399" s="89" t="s">
        <v>615</v>
      </c>
      <c r="H399" s="89" t="s">
        <v>616</v>
      </c>
      <c r="I399" s="89" t="s">
        <v>617</v>
      </c>
      <c r="J399" s="89" t="s">
        <v>618</v>
      </c>
      <c r="K399" s="275"/>
      <c r="L399" s="275"/>
      <c r="M399" s="275"/>
      <c r="N399" s="275"/>
      <c r="O399" s="275"/>
      <c r="P399" s="275"/>
      <c r="Q399" s="275"/>
      <c r="R399" s="277"/>
    </row>
    <row r="400" spans="2:18" ht="15" x14ac:dyDescent="0.25">
      <c r="B400" s="32"/>
      <c r="C400" s="26"/>
      <c r="D400" s="283">
        <v>0</v>
      </c>
      <c r="E400" s="278"/>
      <c r="F400" s="278"/>
      <c r="G400" s="283">
        <f>D356</f>
        <v>108000</v>
      </c>
      <c r="H400" s="283">
        <f>D358</f>
        <v>63360</v>
      </c>
      <c r="I400" s="283">
        <f>D359</f>
        <v>28080</v>
      </c>
      <c r="J400" s="283">
        <f>D360</f>
        <v>960</v>
      </c>
      <c r="K400" s="278"/>
      <c r="L400" s="278"/>
      <c r="M400" s="278"/>
      <c r="N400" s="278"/>
      <c r="O400" s="278"/>
      <c r="P400" s="278"/>
      <c r="Q400" s="278"/>
      <c r="R400" s="279"/>
    </row>
    <row r="401" spans="2:18" ht="15" x14ac:dyDescent="0.25">
      <c r="B401" s="32"/>
      <c r="C401" s="26"/>
      <c r="D401" s="275"/>
      <c r="E401" s="275"/>
      <c r="F401" s="275"/>
      <c r="G401" s="275"/>
      <c r="H401" s="275"/>
      <c r="I401" s="275"/>
      <c r="J401" s="275"/>
      <c r="K401" s="89" t="s">
        <v>626</v>
      </c>
      <c r="L401" s="89" t="s">
        <v>619</v>
      </c>
      <c r="M401" s="275"/>
      <c r="N401" s="275"/>
      <c r="O401" s="275"/>
      <c r="P401" s="275"/>
      <c r="Q401" s="275"/>
      <c r="R401" s="277"/>
    </row>
    <row r="402" spans="2:18" ht="15" x14ac:dyDescent="0.25">
      <c r="B402" s="32"/>
      <c r="C402" s="26"/>
      <c r="D402" s="283">
        <f>SUM(D400:J400)</f>
        <v>200400</v>
      </c>
      <c r="E402" s="278"/>
      <c r="F402" s="278"/>
      <c r="G402" s="278"/>
      <c r="H402" s="278"/>
      <c r="I402" s="278"/>
      <c r="J402" s="278"/>
      <c r="K402" s="283">
        <f>D364</f>
        <v>15600</v>
      </c>
      <c r="L402" s="283">
        <f>H365</f>
        <v>0</v>
      </c>
      <c r="M402" s="278"/>
      <c r="N402" s="278"/>
      <c r="O402" s="278"/>
      <c r="P402" s="278"/>
      <c r="Q402" s="278"/>
      <c r="R402" s="279"/>
    </row>
    <row r="403" spans="2:18" ht="15" x14ac:dyDescent="0.25">
      <c r="B403" s="32"/>
      <c r="C403" s="26"/>
      <c r="D403" s="275"/>
      <c r="E403" s="275"/>
      <c r="F403" s="275"/>
      <c r="G403" s="275"/>
      <c r="H403" s="275"/>
      <c r="I403" s="275"/>
      <c r="J403" s="275"/>
      <c r="K403" s="275"/>
      <c r="L403" s="275"/>
      <c r="M403" s="89" t="s">
        <v>620</v>
      </c>
      <c r="N403" s="275"/>
      <c r="O403" s="275"/>
      <c r="P403" s="275"/>
      <c r="Q403" s="275"/>
      <c r="R403" s="277"/>
    </row>
    <row r="404" spans="2:18" ht="15" x14ac:dyDescent="0.25">
      <c r="B404" s="32"/>
      <c r="C404" s="26"/>
      <c r="D404" s="283">
        <f>D402</f>
        <v>200400</v>
      </c>
      <c r="E404" s="278"/>
      <c r="F404" s="278"/>
      <c r="G404" s="278"/>
      <c r="H404" s="278"/>
      <c r="I404" s="278"/>
      <c r="J404" s="278"/>
      <c r="K404" s="278"/>
      <c r="L404" s="278"/>
      <c r="M404" s="283">
        <f>D366</f>
        <v>292.78534313049511</v>
      </c>
      <c r="N404" s="278"/>
      <c r="O404" s="278"/>
      <c r="P404" s="278"/>
      <c r="Q404" s="278"/>
      <c r="R404" s="279"/>
    </row>
    <row r="405" spans="2:18" ht="15" x14ac:dyDescent="0.25">
      <c r="B405" s="32"/>
      <c r="C405" s="26"/>
      <c r="D405" s="275"/>
      <c r="E405" s="275"/>
      <c r="F405" s="275"/>
      <c r="G405" s="275"/>
      <c r="H405" s="275"/>
      <c r="I405" s="275"/>
      <c r="J405" s="275"/>
      <c r="K405" s="275"/>
      <c r="L405" s="275"/>
      <c r="M405" s="275"/>
      <c r="N405" s="89" t="s">
        <v>625</v>
      </c>
      <c r="O405" s="275"/>
      <c r="P405" s="275"/>
      <c r="Q405" s="275"/>
      <c r="R405" s="277"/>
    </row>
    <row r="406" spans="2:18" ht="15" x14ac:dyDescent="0.25">
      <c r="B406" s="32"/>
      <c r="C406" s="26"/>
      <c r="D406" s="283">
        <f>D404+M404</f>
        <v>200692.7853431305</v>
      </c>
      <c r="E406" s="278"/>
      <c r="F406" s="278"/>
      <c r="G406" s="278"/>
      <c r="H406" s="278"/>
      <c r="I406" s="278"/>
      <c r="J406" s="278"/>
      <c r="K406" s="278"/>
      <c r="L406" s="278"/>
      <c r="M406" s="278"/>
      <c r="N406" s="283">
        <f>D371</f>
        <v>15307.214656869504</v>
      </c>
      <c r="O406" s="278"/>
      <c r="P406" s="278"/>
      <c r="Q406" s="278"/>
      <c r="R406" s="279"/>
    </row>
    <row r="407" spans="2:18" ht="15" x14ac:dyDescent="0.25">
      <c r="B407" s="32"/>
      <c r="C407" s="26"/>
      <c r="D407" s="275"/>
      <c r="E407" s="275"/>
      <c r="F407" s="275"/>
      <c r="G407" s="275"/>
      <c r="H407" s="275"/>
      <c r="I407" s="275"/>
      <c r="J407" s="275"/>
      <c r="K407" s="275"/>
      <c r="L407" s="275"/>
      <c r="M407" s="275"/>
      <c r="N407" s="275"/>
      <c r="O407" s="89" t="s">
        <v>621</v>
      </c>
      <c r="P407" s="89" t="s">
        <v>627</v>
      </c>
      <c r="Q407" s="275"/>
      <c r="R407" s="277"/>
    </row>
    <row r="408" spans="2:18" ht="15" x14ac:dyDescent="0.25">
      <c r="B408" s="32"/>
      <c r="C408" s="26"/>
      <c r="D408" s="283">
        <f>D406</f>
        <v>200692.7853431305</v>
      </c>
      <c r="E408" s="278"/>
      <c r="F408" s="278"/>
      <c r="G408" s="278"/>
      <c r="H408" s="278"/>
      <c r="I408" s="278"/>
      <c r="J408" s="278"/>
      <c r="K408" s="278"/>
      <c r="L408" s="278"/>
      <c r="M408" s="278"/>
      <c r="N408" s="278"/>
      <c r="O408" s="283">
        <f>D372</f>
        <v>3826.8036642173761</v>
      </c>
      <c r="P408" s="283">
        <f>D373</f>
        <v>11480.410992652129</v>
      </c>
      <c r="Q408" s="278"/>
      <c r="R408" s="279"/>
    </row>
    <row r="409" spans="2:18" ht="15" x14ac:dyDescent="0.25">
      <c r="B409" s="32"/>
      <c r="C409" s="26"/>
      <c r="D409" s="275"/>
      <c r="E409" s="275"/>
      <c r="F409" s="275"/>
      <c r="G409" s="275"/>
      <c r="H409" s="275"/>
      <c r="I409" s="275"/>
      <c r="J409" s="275"/>
      <c r="K409" s="275"/>
      <c r="L409" s="275"/>
      <c r="M409" s="275"/>
      <c r="N409" s="275"/>
      <c r="O409" s="275"/>
      <c r="P409" s="275"/>
      <c r="Q409" s="89" t="s">
        <v>622</v>
      </c>
      <c r="R409" s="555" t="s">
        <v>623</v>
      </c>
    </row>
    <row r="410" spans="2:18" ht="15" x14ac:dyDescent="0.25">
      <c r="B410" s="32"/>
      <c r="C410" s="26"/>
      <c r="D410" s="283">
        <f>D408+O408</f>
        <v>204519.58900734788</v>
      </c>
      <c r="E410" s="278"/>
      <c r="F410" s="278"/>
      <c r="G410" s="278"/>
      <c r="H410" s="278"/>
      <c r="I410" s="278"/>
      <c r="J410" s="278"/>
      <c r="K410" s="278"/>
      <c r="L410" s="278"/>
      <c r="M410" s="278"/>
      <c r="N410" s="278"/>
      <c r="O410" s="278"/>
      <c r="P410" s="278"/>
      <c r="Q410" s="283">
        <f>D374</f>
        <v>2870.1027481630322</v>
      </c>
      <c r="R410" s="556">
        <f>D375</f>
        <v>8610.308244489097</v>
      </c>
    </row>
    <row r="411" spans="2:18" thickBot="1" x14ac:dyDescent="0.3">
      <c r="B411" s="32"/>
      <c r="C411" s="275"/>
      <c r="D411" s="275"/>
      <c r="E411" s="275"/>
      <c r="F411" s="275"/>
      <c r="G411" s="275"/>
      <c r="H411" s="275"/>
      <c r="I411" s="275"/>
      <c r="J411" s="275"/>
      <c r="K411" s="275"/>
      <c r="L411" s="275"/>
      <c r="M411" s="275"/>
      <c r="N411" s="275"/>
      <c r="O411" s="275"/>
      <c r="P411" s="275"/>
      <c r="Q411" s="275"/>
      <c r="R411" s="277"/>
    </row>
    <row r="412" spans="2:18" ht="19.5" thickBot="1" x14ac:dyDescent="0.35">
      <c r="B412" s="32"/>
      <c r="C412" s="289" t="s">
        <v>629</v>
      </c>
      <c r="D412" s="26"/>
      <c r="E412" s="26"/>
      <c r="F412" s="26"/>
      <c r="G412" s="26"/>
      <c r="H412" s="26"/>
      <c r="I412" s="26"/>
      <c r="J412" s="26"/>
      <c r="K412" s="26"/>
      <c r="L412" s="26"/>
      <c r="M412" s="26"/>
      <c r="N412" s="26"/>
      <c r="O412" s="26"/>
      <c r="P412" s="26"/>
      <c r="Q412" s="26"/>
      <c r="R412" s="27"/>
    </row>
    <row r="413" spans="2:18" ht="15" x14ac:dyDescent="0.25">
      <c r="B413" s="32"/>
      <c r="C413" s="26"/>
      <c r="D413" s="89" t="s">
        <v>624</v>
      </c>
      <c r="E413" s="89" t="s">
        <v>464</v>
      </c>
      <c r="F413" s="89" t="s">
        <v>588</v>
      </c>
      <c r="G413" s="275"/>
      <c r="H413" s="275"/>
      <c r="I413" s="275"/>
      <c r="J413" s="275"/>
      <c r="K413" s="275"/>
      <c r="L413" s="275"/>
      <c r="M413" s="275"/>
      <c r="N413" s="275"/>
      <c r="O413" s="275"/>
      <c r="P413" s="275"/>
      <c r="Q413" s="275"/>
      <c r="R413" s="277"/>
    </row>
    <row r="414" spans="2:18" ht="15" x14ac:dyDescent="0.25">
      <c r="B414" s="32"/>
      <c r="C414" s="26"/>
      <c r="D414" s="283">
        <v>0</v>
      </c>
      <c r="E414" s="285">
        <f>Sector!J10</f>
        <v>69095732</v>
      </c>
      <c r="F414" s="284">
        <f>Sector!J22</f>
        <v>2467</v>
      </c>
      <c r="G414" s="278"/>
      <c r="H414" s="278"/>
      <c r="I414" s="278"/>
      <c r="J414" s="278"/>
      <c r="K414" s="278"/>
      <c r="L414" s="278"/>
      <c r="M414" s="278"/>
      <c r="N414" s="278"/>
      <c r="O414" s="278"/>
      <c r="P414" s="278"/>
      <c r="Q414" s="278"/>
      <c r="R414" s="279"/>
    </row>
    <row r="415" spans="2:18" ht="15" x14ac:dyDescent="0.25">
      <c r="B415" s="32"/>
      <c r="C415" s="26"/>
      <c r="D415" s="275"/>
      <c r="E415" s="275"/>
      <c r="F415" s="275"/>
      <c r="G415" s="89" t="s">
        <v>615</v>
      </c>
      <c r="H415" s="89" t="s">
        <v>616</v>
      </c>
      <c r="I415" s="89" t="s">
        <v>617</v>
      </c>
      <c r="J415" s="89" t="s">
        <v>618</v>
      </c>
      <c r="K415" s="275"/>
      <c r="L415" s="275"/>
      <c r="M415" s="275"/>
      <c r="N415" s="275"/>
      <c r="O415" s="275"/>
      <c r="P415" s="275"/>
      <c r="Q415" s="275"/>
      <c r="R415" s="277"/>
    </row>
    <row r="416" spans="2:18" ht="15" x14ac:dyDescent="0.25">
      <c r="B416" s="32"/>
      <c r="C416" s="26"/>
      <c r="D416" s="283">
        <v>0</v>
      </c>
      <c r="E416" s="278"/>
      <c r="F416" s="278"/>
      <c r="G416" s="286">
        <f>Sector!J21</f>
        <v>50623474</v>
      </c>
      <c r="H416" s="284">
        <f>Sector!J43</f>
        <v>8598042</v>
      </c>
      <c r="I416" s="284">
        <f>Sector!J41</f>
        <v>7251828</v>
      </c>
      <c r="J416" s="284">
        <f>Sector!J54</f>
        <v>1891519</v>
      </c>
      <c r="K416" s="278"/>
      <c r="L416" s="278"/>
      <c r="M416" s="278"/>
      <c r="N416" s="278"/>
      <c r="O416" s="278"/>
      <c r="P416" s="278"/>
      <c r="Q416" s="278"/>
      <c r="R416" s="279"/>
    </row>
    <row r="417" spans="2:18" ht="15" x14ac:dyDescent="0.25">
      <c r="B417" s="32"/>
      <c r="C417" s="26"/>
      <c r="D417" s="275"/>
      <c r="E417" s="275"/>
      <c r="F417" s="275"/>
      <c r="G417" s="275"/>
      <c r="H417" s="275"/>
      <c r="I417" s="275"/>
      <c r="J417" s="275"/>
      <c r="K417" s="89" t="s">
        <v>626</v>
      </c>
      <c r="L417" s="89" t="s">
        <v>619</v>
      </c>
      <c r="M417" s="275"/>
      <c r="N417" s="275"/>
      <c r="O417" s="275"/>
      <c r="P417" s="275"/>
      <c r="Q417" s="275"/>
      <c r="R417" s="277"/>
    </row>
    <row r="418" spans="2:18" ht="15" x14ac:dyDescent="0.25">
      <c r="B418" s="32"/>
      <c r="C418" s="26"/>
      <c r="D418" s="283">
        <f>SUM(D416:J416)</f>
        <v>68364863</v>
      </c>
      <c r="E418" s="278"/>
      <c r="F418" s="278"/>
      <c r="G418" s="278"/>
      <c r="H418" s="278"/>
      <c r="I418" s="278"/>
      <c r="J418" s="278"/>
      <c r="K418" s="284">
        <f>Sector!J78</f>
        <v>2637211</v>
      </c>
      <c r="L418" s="284">
        <f>Sector!J46</f>
        <v>646868</v>
      </c>
      <c r="M418" s="278"/>
      <c r="N418" s="278"/>
      <c r="O418" s="278"/>
      <c r="P418" s="278"/>
      <c r="Q418" s="278"/>
      <c r="R418" s="279"/>
    </row>
    <row r="419" spans="2:18" ht="15" x14ac:dyDescent="0.25">
      <c r="B419" s="32"/>
      <c r="C419" s="26"/>
      <c r="D419" s="275"/>
      <c r="E419" s="275"/>
      <c r="F419" s="275"/>
      <c r="G419" s="275"/>
      <c r="H419" s="275"/>
      <c r="I419" s="275"/>
      <c r="J419" s="275"/>
      <c r="K419" s="275"/>
      <c r="L419" s="275"/>
      <c r="M419" s="89" t="s">
        <v>620</v>
      </c>
      <c r="N419" s="275"/>
      <c r="O419" s="275"/>
      <c r="P419" s="275"/>
      <c r="Q419" s="275"/>
      <c r="R419" s="277"/>
    </row>
    <row r="420" spans="2:18" ht="15" x14ac:dyDescent="0.25">
      <c r="B420" s="32"/>
      <c r="C420" s="26"/>
      <c r="D420" s="283">
        <f>D418</f>
        <v>68364863</v>
      </c>
      <c r="E420" s="278"/>
      <c r="F420" s="278"/>
      <c r="G420" s="278"/>
      <c r="H420" s="278"/>
      <c r="I420" s="278"/>
      <c r="J420" s="278"/>
      <c r="K420" s="278"/>
      <c r="L420" s="278"/>
      <c r="M420" s="284">
        <f>Sector!J51</f>
        <v>680122</v>
      </c>
      <c r="N420" s="278"/>
      <c r="O420" s="278"/>
      <c r="P420" s="278"/>
      <c r="Q420" s="278"/>
      <c r="R420" s="279"/>
    </row>
    <row r="421" spans="2:18" ht="15" x14ac:dyDescent="0.25">
      <c r="B421" s="32"/>
      <c r="C421" s="26"/>
      <c r="D421" s="275"/>
      <c r="E421" s="275"/>
      <c r="F421" s="275"/>
      <c r="G421" s="275"/>
      <c r="H421" s="275"/>
      <c r="I421" s="275"/>
      <c r="J421" s="275"/>
      <c r="K421" s="275"/>
      <c r="L421" s="275"/>
      <c r="M421" s="275"/>
      <c r="N421" s="89" t="s">
        <v>625</v>
      </c>
      <c r="O421" s="275"/>
      <c r="P421" s="275"/>
      <c r="Q421" s="275"/>
      <c r="R421" s="277"/>
    </row>
    <row r="422" spans="2:18" ht="15" x14ac:dyDescent="0.25">
      <c r="B422" s="32"/>
      <c r="C422" s="26"/>
      <c r="D422" s="283">
        <f>D420+M420</f>
        <v>69044985</v>
      </c>
      <c r="E422" s="278"/>
      <c r="F422" s="278"/>
      <c r="G422" s="278"/>
      <c r="H422" s="278"/>
      <c r="I422" s="278"/>
      <c r="J422" s="278"/>
      <c r="K422" s="278"/>
      <c r="L422" s="278"/>
      <c r="M422" s="278"/>
      <c r="N422" s="284">
        <f>Sector!J57</f>
        <v>2603957</v>
      </c>
      <c r="O422" s="278"/>
      <c r="P422" s="278"/>
      <c r="Q422" s="278"/>
      <c r="R422" s="279"/>
    </row>
    <row r="423" spans="2:18" ht="15" x14ac:dyDescent="0.25">
      <c r="B423" s="32"/>
      <c r="C423" s="26"/>
      <c r="D423" s="275"/>
      <c r="E423" s="275"/>
      <c r="F423" s="275"/>
      <c r="G423" s="275"/>
      <c r="H423" s="275"/>
      <c r="I423" s="275"/>
      <c r="J423" s="275"/>
      <c r="K423" s="275"/>
      <c r="L423" s="275"/>
      <c r="M423" s="275"/>
      <c r="N423" s="275"/>
      <c r="O423" s="89" t="s">
        <v>621</v>
      </c>
      <c r="P423" s="89" t="s">
        <v>627</v>
      </c>
      <c r="Q423" s="275"/>
      <c r="R423" s="277"/>
    </row>
    <row r="424" spans="2:18" ht="15" x14ac:dyDescent="0.25">
      <c r="B424" s="32"/>
      <c r="C424" s="26"/>
      <c r="D424" s="283">
        <f>D422</f>
        <v>69044985</v>
      </c>
      <c r="E424" s="278"/>
      <c r="F424" s="278"/>
      <c r="G424" s="278"/>
      <c r="H424" s="278"/>
      <c r="I424" s="278"/>
      <c r="J424" s="278"/>
      <c r="K424" s="278"/>
      <c r="L424" s="278"/>
      <c r="M424" s="278"/>
      <c r="N424" s="278"/>
      <c r="O424" s="284">
        <f>Sector!J73</f>
        <v>451952</v>
      </c>
      <c r="P424" s="284">
        <f>Sector!J74</f>
        <v>1694604</v>
      </c>
      <c r="Q424" s="278"/>
      <c r="R424" s="279"/>
    </row>
    <row r="425" spans="2:18" ht="15" x14ac:dyDescent="0.25">
      <c r="B425" s="32"/>
      <c r="C425" s="26"/>
      <c r="D425" s="275"/>
      <c r="E425" s="275"/>
      <c r="F425" s="275"/>
      <c r="G425" s="275"/>
      <c r="H425" s="275"/>
      <c r="I425" s="275"/>
      <c r="J425" s="275"/>
      <c r="K425" s="275"/>
      <c r="L425" s="275"/>
      <c r="M425" s="275"/>
      <c r="N425" s="275"/>
      <c r="O425" s="275"/>
      <c r="P425" s="275"/>
      <c r="Q425" s="89" t="s">
        <v>622</v>
      </c>
      <c r="R425" s="555" t="s">
        <v>623</v>
      </c>
    </row>
    <row r="426" spans="2:18" ht="15" x14ac:dyDescent="0.25">
      <c r="B426" s="32"/>
      <c r="C426" s="26"/>
      <c r="D426" s="283">
        <f>D424+O424</f>
        <v>69496937</v>
      </c>
      <c r="E426" s="278"/>
      <c r="F426" s="278"/>
      <c r="G426" s="278"/>
      <c r="H426" s="278"/>
      <c r="I426" s="278"/>
      <c r="J426" s="278"/>
      <c r="K426" s="278"/>
      <c r="L426" s="278"/>
      <c r="M426" s="278"/>
      <c r="N426" s="278"/>
      <c r="O426" s="278"/>
      <c r="P426" s="278"/>
      <c r="Q426" s="284">
        <f>Sector!J75</f>
        <v>1096025</v>
      </c>
      <c r="R426" s="557">
        <f>Sector!J76</f>
        <v>598579</v>
      </c>
    </row>
    <row r="427" spans="2:18" x14ac:dyDescent="0.25">
      <c r="B427" s="32"/>
      <c r="C427" s="26"/>
      <c r="D427" s="143"/>
      <c r="E427" s="26"/>
      <c r="F427" s="26"/>
      <c r="G427" s="26"/>
      <c r="H427" s="26"/>
      <c r="I427" s="26"/>
      <c r="J427" s="26"/>
      <c r="K427" s="26"/>
      <c r="L427" s="26"/>
      <c r="M427" s="26"/>
      <c r="N427" s="26"/>
      <c r="O427" s="26"/>
      <c r="P427" s="26"/>
      <c r="Q427" s="26"/>
      <c r="R427" s="27"/>
    </row>
    <row r="428" spans="2:18" x14ac:dyDescent="0.25">
      <c r="B428" s="32"/>
      <c r="C428" s="26"/>
      <c r="D428" s="143"/>
      <c r="E428" s="26"/>
      <c r="F428" s="26"/>
      <c r="G428" s="26"/>
      <c r="H428" s="26"/>
      <c r="I428" s="26"/>
      <c r="J428" s="26"/>
      <c r="K428" s="26"/>
      <c r="L428" s="26"/>
      <c r="M428" s="26"/>
      <c r="N428" s="26"/>
      <c r="O428" s="26"/>
      <c r="P428" s="26"/>
      <c r="Q428" s="26"/>
      <c r="R428" s="27"/>
    </row>
    <row r="429" spans="2:18" x14ac:dyDescent="0.25">
      <c r="B429" s="32"/>
      <c r="C429" s="26"/>
      <c r="D429" s="143"/>
      <c r="E429" s="26"/>
      <c r="F429" s="26"/>
      <c r="G429" s="26"/>
      <c r="H429" s="26"/>
      <c r="I429" s="26"/>
      <c r="J429" s="26"/>
      <c r="K429" s="26"/>
      <c r="L429" s="26"/>
      <c r="M429" s="26"/>
      <c r="N429" s="26"/>
      <c r="O429" s="26"/>
      <c r="P429" s="26"/>
      <c r="Q429" s="26"/>
      <c r="R429" s="27"/>
    </row>
    <row r="430" spans="2:18" x14ac:dyDescent="0.25">
      <c r="B430" s="32"/>
      <c r="C430" s="26"/>
      <c r="D430" s="143"/>
      <c r="E430" s="26"/>
      <c r="F430" s="26"/>
      <c r="G430" s="26"/>
      <c r="H430" s="26"/>
      <c r="I430" s="26"/>
      <c r="J430" s="26"/>
      <c r="K430" s="26"/>
      <c r="L430" s="26"/>
      <c r="M430" s="26"/>
      <c r="N430" s="26"/>
      <c r="O430" s="26"/>
      <c r="P430" s="26"/>
      <c r="Q430" s="26"/>
      <c r="R430" s="27"/>
    </row>
    <row r="431" spans="2:18" x14ac:dyDescent="0.25">
      <c r="B431" s="32"/>
      <c r="C431" s="26"/>
      <c r="D431" s="143"/>
      <c r="E431" s="26"/>
      <c r="F431" s="26"/>
      <c r="G431" s="26"/>
      <c r="H431" s="26"/>
      <c r="I431" s="26"/>
      <c r="J431" s="26"/>
      <c r="K431" s="26"/>
      <c r="L431" s="26"/>
      <c r="M431" s="26"/>
      <c r="N431" s="26"/>
      <c r="O431" s="26"/>
      <c r="P431" s="26"/>
      <c r="Q431" s="26"/>
      <c r="R431" s="27"/>
    </row>
    <row r="432" spans="2:18" x14ac:dyDescent="0.25">
      <c r="B432" s="32"/>
      <c r="C432" s="26"/>
      <c r="D432" s="143"/>
      <c r="E432" s="26"/>
      <c r="F432" s="26"/>
      <c r="G432" s="26"/>
      <c r="H432" s="26"/>
      <c r="I432" s="26"/>
      <c r="J432" s="26"/>
      <c r="K432" s="26"/>
      <c r="L432" s="26"/>
      <c r="M432" s="26"/>
      <c r="N432" s="26"/>
      <c r="O432" s="26"/>
      <c r="P432" s="26"/>
      <c r="Q432" s="26"/>
      <c r="R432" s="27"/>
    </row>
    <row r="433" spans="2:18" x14ac:dyDescent="0.25">
      <c r="B433" s="32"/>
      <c r="C433" s="26"/>
      <c r="D433" s="143"/>
      <c r="E433" s="26"/>
      <c r="F433" s="26"/>
      <c r="G433" s="26"/>
      <c r="H433" s="26"/>
      <c r="I433" s="26"/>
      <c r="J433" s="26"/>
      <c r="K433" s="26"/>
      <c r="L433" s="26"/>
      <c r="M433" s="26"/>
      <c r="N433" s="26"/>
      <c r="O433" s="26"/>
      <c r="P433" s="26"/>
      <c r="Q433" s="26"/>
      <c r="R433" s="27"/>
    </row>
    <row r="434" spans="2:18" x14ac:dyDescent="0.25">
      <c r="B434" s="32"/>
      <c r="C434" s="26"/>
      <c r="D434" s="143"/>
      <c r="E434" s="26"/>
      <c r="F434" s="26"/>
      <c r="G434" s="26"/>
      <c r="H434" s="26"/>
      <c r="I434" s="26"/>
      <c r="J434" s="26"/>
      <c r="K434" s="26"/>
      <c r="L434" s="26"/>
      <c r="M434" s="26"/>
      <c r="N434" s="26"/>
      <c r="O434" s="26"/>
      <c r="P434" s="26"/>
      <c r="Q434" s="26"/>
      <c r="R434" s="27"/>
    </row>
    <row r="435" spans="2:18" x14ac:dyDescent="0.25">
      <c r="B435" s="32"/>
      <c r="C435" s="26"/>
      <c r="D435" s="143"/>
      <c r="E435" s="26"/>
      <c r="F435" s="26"/>
      <c r="G435" s="26"/>
      <c r="H435" s="26"/>
      <c r="I435" s="26"/>
      <c r="J435" s="26"/>
      <c r="K435" s="26"/>
      <c r="L435" s="26"/>
      <c r="M435" s="26"/>
      <c r="N435" s="26"/>
      <c r="O435" s="26"/>
      <c r="P435" s="26"/>
      <c r="Q435" s="26"/>
      <c r="R435" s="27"/>
    </row>
    <row r="436" spans="2:18" x14ac:dyDescent="0.25">
      <c r="B436" s="32"/>
      <c r="C436" s="26"/>
      <c r="D436" s="143"/>
      <c r="E436" s="26"/>
      <c r="F436" s="26"/>
      <c r="G436" s="26"/>
      <c r="H436" s="26"/>
      <c r="I436" s="26"/>
      <c r="J436" s="26"/>
      <c r="K436" s="26"/>
      <c r="L436" s="26"/>
      <c r="M436" s="26"/>
      <c r="N436" s="26"/>
      <c r="O436" s="26"/>
      <c r="P436" s="26"/>
      <c r="Q436" s="26"/>
      <c r="R436" s="27"/>
    </row>
    <row r="437" spans="2:18" x14ac:dyDescent="0.25">
      <c r="B437" s="32"/>
      <c r="C437" s="26"/>
      <c r="D437" s="143"/>
      <c r="E437" s="26"/>
      <c r="F437" s="26"/>
      <c r="G437" s="26"/>
      <c r="H437" s="26"/>
      <c r="I437" s="26"/>
      <c r="J437" s="26"/>
      <c r="K437" s="26"/>
      <c r="L437" s="26"/>
      <c r="M437" s="26"/>
      <c r="N437" s="26"/>
      <c r="O437" s="26"/>
      <c r="P437" s="26"/>
      <c r="Q437" s="26"/>
      <c r="R437" s="27"/>
    </row>
    <row r="438" spans="2:18" x14ac:dyDescent="0.25">
      <c r="B438" s="32"/>
      <c r="C438" s="26"/>
      <c r="D438" s="143"/>
      <c r="E438" s="26"/>
      <c r="F438" s="26"/>
      <c r="G438" s="26"/>
      <c r="H438" s="26"/>
      <c r="I438" s="26"/>
      <c r="J438" s="26"/>
      <c r="K438" s="26"/>
      <c r="L438" s="26"/>
      <c r="M438" s="26"/>
      <c r="N438" s="26"/>
      <c r="O438" s="26"/>
      <c r="P438" s="26"/>
      <c r="Q438" s="26"/>
      <c r="R438" s="27"/>
    </row>
    <row r="439" spans="2:18" x14ac:dyDescent="0.25">
      <c r="B439" s="32"/>
      <c r="C439" s="26"/>
      <c r="D439" s="143"/>
      <c r="E439" s="26"/>
      <c r="F439" s="26"/>
      <c r="G439" s="26"/>
      <c r="H439" s="26"/>
      <c r="I439" s="26"/>
      <c r="J439" s="26"/>
      <c r="K439" s="26"/>
      <c r="L439" s="26"/>
      <c r="M439" s="26"/>
      <c r="N439" s="26"/>
      <c r="O439" s="26"/>
      <c r="P439" s="26"/>
      <c r="Q439" s="26"/>
      <c r="R439" s="27"/>
    </row>
    <row r="440" spans="2:18" x14ac:dyDescent="0.25">
      <c r="B440" s="32"/>
      <c r="C440" s="26"/>
      <c r="D440" s="143"/>
      <c r="E440" s="26"/>
      <c r="F440" s="26"/>
      <c r="G440" s="26"/>
      <c r="H440" s="26"/>
      <c r="I440" s="26"/>
      <c r="J440" s="26"/>
      <c r="K440" s="26"/>
      <c r="L440" s="26"/>
      <c r="M440" s="26"/>
      <c r="N440" s="26"/>
      <c r="O440" s="26"/>
      <c r="P440" s="26"/>
      <c r="Q440" s="26"/>
      <c r="R440" s="27"/>
    </row>
    <row r="441" spans="2:18" x14ac:dyDescent="0.25">
      <c r="B441" s="32"/>
      <c r="C441" s="26"/>
      <c r="D441" s="143"/>
      <c r="E441" s="26"/>
      <c r="F441" s="26"/>
      <c r="G441" s="26"/>
      <c r="H441" s="26"/>
      <c r="I441" s="26"/>
      <c r="J441" s="26"/>
      <c r="K441" s="26"/>
      <c r="L441" s="26"/>
      <c r="M441" s="26"/>
      <c r="N441" s="26"/>
      <c r="O441" s="26"/>
      <c r="P441" s="26"/>
      <c r="Q441" s="26"/>
      <c r="R441" s="27"/>
    </row>
    <row r="442" spans="2:18" x14ac:dyDescent="0.25">
      <c r="B442" s="32"/>
      <c r="C442" s="26"/>
      <c r="D442" s="143"/>
      <c r="E442" s="26"/>
      <c r="F442" s="26"/>
      <c r="G442" s="26"/>
      <c r="H442" s="26"/>
      <c r="I442" s="26"/>
      <c r="J442" s="26"/>
      <c r="K442" s="26"/>
      <c r="L442" s="26"/>
      <c r="M442" s="26"/>
      <c r="N442" s="26"/>
      <c r="O442" s="26"/>
      <c r="P442" s="26"/>
      <c r="Q442" s="26"/>
      <c r="R442" s="27"/>
    </row>
    <row r="443" spans="2:18" x14ac:dyDescent="0.25">
      <c r="B443" s="32"/>
      <c r="C443" s="26"/>
      <c r="D443" s="143"/>
      <c r="E443" s="26"/>
      <c r="F443" s="26"/>
      <c r="G443" s="26"/>
      <c r="H443" s="26"/>
      <c r="I443" s="26"/>
      <c r="J443" s="26"/>
      <c r="K443" s="26"/>
      <c r="L443" s="26"/>
      <c r="M443" s="26"/>
      <c r="N443" s="26"/>
      <c r="O443" s="26"/>
      <c r="P443" s="26"/>
      <c r="Q443" s="26"/>
      <c r="R443" s="27"/>
    </row>
    <row r="444" spans="2:18" x14ac:dyDescent="0.25">
      <c r="B444" s="32"/>
      <c r="C444" s="26"/>
      <c r="D444" s="143"/>
      <c r="E444" s="26"/>
      <c r="F444" s="26"/>
      <c r="G444" s="26"/>
      <c r="H444" s="26"/>
      <c r="I444" s="26"/>
      <c r="J444" s="26"/>
      <c r="K444" s="26"/>
      <c r="L444" s="26"/>
      <c r="M444" s="26"/>
      <c r="N444" s="26"/>
      <c r="O444" s="26"/>
      <c r="P444" s="26"/>
      <c r="Q444" s="26"/>
      <c r="R444" s="27"/>
    </row>
    <row r="445" spans="2:18" x14ac:dyDescent="0.25">
      <c r="B445" s="32"/>
      <c r="C445" s="26"/>
      <c r="D445" s="143"/>
      <c r="E445" s="26"/>
      <c r="F445" s="26"/>
      <c r="G445" s="26"/>
      <c r="H445" s="26"/>
      <c r="I445" s="26"/>
      <c r="J445" s="26"/>
      <c r="K445" s="26"/>
      <c r="L445" s="26"/>
      <c r="M445" s="26"/>
      <c r="N445" s="26"/>
      <c r="O445" s="26"/>
      <c r="P445" s="26"/>
      <c r="Q445" s="26"/>
      <c r="R445" s="27"/>
    </row>
    <row r="446" spans="2:18" x14ac:dyDescent="0.25">
      <c r="B446" s="32"/>
      <c r="C446" s="26"/>
      <c r="D446" s="143"/>
      <c r="E446" s="26"/>
      <c r="F446" s="26"/>
      <c r="G446" s="26"/>
      <c r="H446" s="26"/>
      <c r="I446" s="26"/>
      <c r="J446" s="26"/>
      <c r="K446" s="26"/>
      <c r="L446" s="26"/>
      <c r="M446" s="26"/>
      <c r="N446" s="26"/>
      <c r="O446" s="26"/>
      <c r="P446" s="26"/>
      <c r="Q446" s="26"/>
      <c r="R446" s="27"/>
    </row>
    <row r="447" spans="2:18" x14ac:dyDescent="0.25">
      <c r="B447" s="32"/>
      <c r="C447" s="26"/>
      <c r="D447" s="143"/>
      <c r="E447" s="26"/>
      <c r="F447" s="26"/>
      <c r="G447" s="26"/>
      <c r="H447" s="26"/>
      <c r="I447" s="26"/>
      <c r="J447" s="26"/>
      <c r="K447" s="26"/>
      <c r="L447" s="26"/>
      <c r="M447" s="26"/>
      <c r="N447" s="26"/>
      <c r="O447" s="26"/>
      <c r="P447" s="26"/>
      <c r="Q447" s="26"/>
      <c r="R447" s="27"/>
    </row>
    <row r="448" spans="2:18" x14ac:dyDescent="0.25">
      <c r="B448" s="32"/>
      <c r="C448" s="26"/>
      <c r="D448" s="143"/>
      <c r="E448" s="26"/>
      <c r="F448" s="26"/>
      <c r="G448" s="26"/>
      <c r="H448" s="26"/>
      <c r="I448" s="26"/>
      <c r="J448" s="26"/>
      <c r="K448" s="26"/>
      <c r="L448" s="26"/>
      <c r="M448" s="26"/>
      <c r="N448" s="26"/>
      <c r="O448" s="26"/>
      <c r="P448" s="26"/>
      <c r="Q448" s="26"/>
      <c r="R448" s="27"/>
    </row>
    <row r="449" spans="2:18" x14ac:dyDescent="0.25">
      <c r="B449" s="32"/>
      <c r="C449" s="26"/>
      <c r="D449" s="143"/>
      <c r="E449" s="26"/>
      <c r="F449" s="26"/>
      <c r="G449" s="26"/>
      <c r="H449" s="26"/>
      <c r="I449" s="26"/>
      <c r="J449" s="26"/>
      <c r="K449" s="26"/>
      <c r="L449" s="26"/>
      <c r="M449" s="26"/>
      <c r="N449" s="26"/>
      <c r="O449" s="26"/>
      <c r="P449" s="26"/>
      <c r="Q449" s="26"/>
      <c r="R449" s="27"/>
    </row>
    <row r="450" spans="2:18" x14ac:dyDescent="0.25">
      <c r="B450" s="32"/>
      <c r="C450" s="26"/>
      <c r="D450" s="143"/>
      <c r="E450" s="26"/>
      <c r="F450" s="26"/>
      <c r="G450" s="26"/>
      <c r="H450" s="26"/>
      <c r="I450" s="26"/>
      <c r="J450" s="26"/>
      <c r="K450" s="26"/>
      <c r="L450" s="26"/>
      <c r="M450" s="26"/>
      <c r="N450" s="26"/>
      <c r="O450" s="26"/>
      <c r="P450" s="26"/>
      <c r="Q450" s="26"/>
      <c r="R450" s="27"/>
    </row>
    <row r="451" spans="2:18" x14ac:dyDescent="0.25">
      <c r="B451" s="32"/>
      <c r="C451" s="26"/>
      <c r="D451" s="143"/>
      <c r="E451" s="26"/>
      <c r="F451" s="26"/>
      <c r="G451" s="26"/>
      <c r="H451" s="26"/>
      <c r="I451" s="26"/>
      <c r="J451" s="26"/>
      <c r="K451" s="26"/>
      <c r="L451" s="26"/>
      <c r="M451" s="26"/>
      <c r="N451" s="26"/>
      <c r="O451" s="26"/>
      <c r="P451" s="26"/>
      <c r="Q451" s="26"/>
      <c r="R451" s="27"/>
    </row>
    <row r="452" spans="2:18" x14ac:dyDescent="0.25">
      <c r="B452" s="32"/>
      <c r="C452" s="26"/>
      <c r="D452" s="143"/>
      <c r="E452" s="26"/>
      <c r="F452" s="26"/>
      <c r="G452" s="26"/>
      <c r="H452" s="26"/>
      <c r="I452" s="26"/>
      <c r="J452" s="26"/>
      <c r="K452" s="26"/>
      <c r="L452" s="26"/>
      <c r="M452" s="26"/>
      <c r="N452" s="26"/>
      <c r="O452" s="26"/>
      <c r="P452" s="26"/>
      <c r="Q452" s="26"/>
      <c r="R452" s="27"/>
    </row>
    <row r="453" spans="2:18" x14ac:dyDescent="0.25">
      <c r="B453" s="32"/>
      <c r="C453" s="26"/>
      <c r="D453" s="143"/>
      <c r="E453" s="26"/>
      <c r="F453" s="26"/>
      <c r="G453" s="26"/>
      <c r="H453" s="26"/>
      <c r="I453" s="26"/>
      <c r="J453" s="26"/>
      <c r="K453" s="26"/>
      <c r="L453" s="26"/>
      <c r="M453" s="26"/>
      <c r="N453" s="26"/>
      <c r="O453" s="26"/>
      <c r="P453" s="26"/>
      <c r="Q453" s="26"/>
      <c r="R453" s="27"/>
    </row>
    <row r="454" spans="2:18" x14ac:dyDescent="0.25">
      <c r="B454" s="32"/>
      <c r="C454" s="26"/>
      <c r="D454" s="143"/>
      <c r="E454" s="26"/>
      <c r="F454" s="26"/>
      <c r="G454" s="26"/>
      <c r="H454" s="26"/>
      <c r="I454" s="26"/>
      <c r="J454" s="26"/>
      <c r="K454" s="26"/>
      <c r="L454" s="26"/>
      <c r="M454" s="26"/>
      <c r="N454" s="26"/>
      <c r="O454" s="26"/>
      <c r="P454" s="26"/>
      <c r="Q454" s="26"/>
      <c r="R454" s="27"/>
    </row>
    <row r="455" spans="2:18" x14ac:dyDescent="0.25">
      <c r="B455" s="32"/>
      <c r="C455" s="26"/>
      <c r="D455" s="143"/>
      <c r="E455" s="26"/>
      <c r="F455" s="26"/>
      <c r="G455" s="26"/>
      <c r="H455" s="26"/>
      <c r="I455" s="26"/>
      <c r="J455" s="26"/>
      <c r="K455" s="26"/>
      <c r="L455" s="26"/>
      <c r="M455" s="26"/>
      <c r="N455" s="26"/>
      <c r="O455" s="26"/>
      <c r="P455" s="26"/>
      <c r="Q455" s="26"/>
      <c r="R455" s="27"/>
    </row>
    <row r="456" spans="2:18" x14ac:dyDescent="0.25">
      <c r="B456" s="32"/>
      <c r="C456" s="26"/>
      <c r="D456" s="143"/>
      <c r="E456" s="26"/>
      <c r="F456" s="26"/>
      <c r="G456" s="26"/>
      <c r="H456" s="26"/>
      <c r="I456" s="26"/>
      <c r="J456" s="26"/>
      <c r="K456" s="26"/>
      <c r="L456" s="26"/>
      <c r="M456" s="26"/>
      <c r="N456" s="26"/>
      <c r="O456" s="26"/>
      <c r="P456" s="26"/>
      <c r="Q456" s="26"/>
      <c r="R456" s="27"/>
    </row>
    <row r="457" spans="2:18" x14ac:dyDescent="0.25">
      <c r="B457" s="32"/>
      <c r="C457" s="26"/>
      <c r="D457" s="143"/>
      <c r="E457" s="26"/>
      <c r="F457" s="26"/>
      <c r="G457" s="26"/>
      <c r="H457" s="26"/>
      <c r="I457" s="26"/>
      <c r="J457" s="26"/>
      <c r="K457" s="26"/>
      <c r="L457" s="26"/>
      <c r="M457" s="26"/>
      <c r="N457" s="26"/>
      <c r="O457" s="26"/>
      <c r="P457" s="26"/>
      <c r="Q457" s="26"/>
      <c r="R457" s="27"/>
    </row>
    <row r="458" spans="2:18" x14ac:dyDescent="0.25">
      <c r="B458" s="32"/>
      <c r="C458" s="26"/>
      <c r="D458" s="143"/>
      <c r="E458" s="26"/>
      <c r="F458" s="26"/>
      <c r="G458" s="26"/>
      <c r="H458" s="26"/>
      <c r="I458" s="26"/>
      <c r="J458" s="26"/>
      <c r="K458" s="26"/>
      <c r="L458" s="26"/>
      <c r="M458" s="26"/>
      <c r="N458" s="26"/>
      <c r="O458" s="26"/>
      <c r="P458" s="26"/>
      <c r="Q458" s="26"/>
      <c r="R458" s="27"/>
    </row>
    <row r="459" spans="2:18" x14ac:dyDescent="0.25">
      <c r="B459" s="32"/>
      <c r="C459" s="26"/>
      <c r="D459" s="143"/>
      <c r="E459" s="26"/>
      <c r="F459" s="26"/>
      <c r="G459" s="26"/>
      <c r="H459" s="26"/>
      <c r="I459" s="26"/>
      <c r="J459" s="26"/>
      <c r="K459" s="26"/>
      <c r="L459" s="26"/>
      <c r="M459" s="26"/>
      <c r="N459" s="26"/>
      <c r="O459" s="26"/>
      <c r="P459" s="26"/>
      <c r="Q459" s="26"/>
      <c r="R459" s="27"/>
    </row>
    <row r="460" spans="2:18" x14ac:dyDescent="0.25">
      <c r="B460" s="32"/>
      <c r="C460" s="26"/>
      <c r="D460" s="143"/>
      <c r="E460" s="26"/>
      <c r="F460" s="26"/>
      <c r="G460" s="26"/>
      <c r="H460" s="26"/>
      <c r="I460" s="26"/>
      <c r="J460" s="26"/>
      <c r="K460" s="26"/>
      <c r="L460" s="26"/>
      <c r="M460" s="26"/>
      <c r="N460" s="26"/>
      <c r="O460" s="26"/>
      <c r="P460" s="26"/>
      <c r="Q460" s="26"/>
      <c r="R460" s="27"/>
    </row>
    <row r="461" spans="2:18" x14ac:dyDescent="0.25">
      <c r="B461" s="32"/>
      <c r="C461" s="26"/>
      <c r="D461" s="143"/>
      <c r="E461" s="26"/>
      <c r="F461" s="26"/>
      <c r="G461" s="26"/>
      <c r="H461" s="26"/>
      <c r="I461" s="26"/>
      <c r="J461" s="26"/>
      <c r="K461" s="26"/>
      <c r="L461" s="26"/>
      <c r="M461" s="26"/>
      <c r="N461" s="26"/>
      <c r="O461" s="26"/>
      <c r="P461" s="26"/>
      <c r="Q461" s="26"/>
      <c r="R461" s="27"/>
    </row>
    <row r="462" spans="2:18" x14ac:dyDescent="0.25">
      <c r="B462" s="32"/>
      <c r="C462" s="26"/>
      <c r="D462" s="143"/>
      <c r="E462" s="26"/>
      <c r="F462" s="26"/>
      <c r="G462" s="26"/>
      <c r="H462" s="26"/>
      <c r="I462" s="26"/>
      <c r="J462" s="26"/>
      <c r="K462" s="26"/>
      <c r="L462" s="26"/>
      <c r="M462" s="26"/>
      <c r="N462" s="26"/>
      <c r="O462" s="26"/>
      <c r="P462" s="26"/>
      <c r="Q462" s="26"/>
      <c r="R462" s="27"/>
    </row>
    <row r="463" spans="2:18" x14ac:dyDescent="0.25">
      <c r="B463" s="32"/>
      <c r="C463" s="26"/>
      <c r="D463" s="143"/>
      <c r="E463" s="26"/>
      <c r="F463" s="26"/>
      <c r="G463" s="26"/>
      <c r="H463" s="26"/>
      <c r="I463" s="26"/>
      <c r="J463" s="26"/>
      <c r="K463" s="26"/>
      <c r="L463" s="26"/>
      <c r="M463" s="26"/>
      <c r="N463" s="26"/>
      <c r="O463" s="26"/>
      <c r="P463" s="26"/>
      <c r="Q463" s="26"/>
      <c r="R463" s="27"/>
    </row>
    <row r="464" spans="2:18" x14ac:dyDescent="0.25">
      <c r="B464" s="32"/>
      <c r="C464" s="26"/>
      <c r="D464" s="143"/>
      <c r="E464" s="26"/>
      <c r="F464" s="26"/>
      <c r="G464" s="26"/>
      <c r="H464" s="26"/>
      <c r="I464" s="26"/>
      <c r="J464" s="26"/>
      <c r="K464" s="26"/>
      <c r="L464" s="26"/>
      <c r="M464" s="26"/>
      <c r="N464" s="26"/>
      <c r="O464" s="26"/>
      <c r="P464" s="26"/>
      <c r="Q464" s="26"/>
      <c r="R464" s="27"/>
    </row>
    <row r="465" spans="2:49" x14ac:dyDescent="0.25">
      <c r="B465" s="32"/>
      <c r="C465" s="26"/>
      <c r="D465" s="143"/>
      <c r="E465" s="26"/>
      <c r="F465" s="26"/>
      <c r="G465" s="26"/>
      <c r="H465" s="26"/>
      <c r="I465" s="26"/>
      <c r="J465" s="26"/>
      <c r="K465" s="26"/>
      <c r="L465" s="26"/>
      <c r="M465" s="26"/>
      <c r="N465" s="26"/>
      <c r="O465" s="26"/>
      <c r="P465" s="26"/>
      <c r="Q465" s="26"/>
      <c r="R465" s="27"/>
    </row>
    <row r="466" spans="2:49" x14ac:dyDescent="0.25">
      <c r="B466" s="32"/>
      <c r="C466" s="26"/>
      <c r="D466" s="143"/>
      <c r="E466" s="26"/>
      <c r="F466" s="26"/>
      <c r="G466" s="26"/>
      <c r="H466" s="26"/>
      <c r="I466" s="26"/>
      <c r="J466" s="26"/>
      <c r="K466" s="26"/>
      <c r="L466" s="26"/>
      <c r="M466" s="26"/>
      <c r="N466" s="26"/>
      <c r="O466" s="26"/>
      <c r="P466" s="26"/>
      <c r="Q466" s="26"/>
      <c r="R466" s="27"/>
    </row>
    <row r="467" spans="2:49" x14ac:dyDescent="0.25">
      <c r="B467" s="32"/>
      <c r="C467" s="26"/>
      <c r="D467" s="143"/>
      <c r="E467" s="26"/>
      <c r="F467" s="26"/>
      <c r="G467" s="26"/>
      <c r="H467" s="26"/>
      <c r="I467" s="26"/>
      <c r="J467" s="26"/>
      <c r="K467" s="26"/>
      <c r="L467" s="26"/>
      <c r="M467" s="26"/>
      <c r="N467" s="26"/>
      <c r="O467" s="26"/>
      <c r="P467" s="26"/>
      <c r="Q467" s="26"/>
      <c r="R467" s="27"/>
    </row>
    <row r="468" spans="2:49" x14ac:dyDescent="0.25">
      <c r="B468" s="32"/>
      <c r="C468" s="26"/>
      <c r="D468" s="143"/>
      <c r="E468" s="26"/>
      <c r="F468" s="26"/>
      <c r="G468" s="26"/>
      <c r="H468" s="26"/>
      <c r="I468" s="26"/>
      <c r="J468" s="26"/>
      <c r="K468" s="26"/>
      <c r="L468" s="26"/>
      <c r="M468" s="26"/>
      <c r="N468" s="26"/>
      <c r="O468" s="26"/>
      <c r="P468" s="26"/>
      <c r="Q468" s="26"/>
      <c r="R468" s="27"/>
    </row>
    <row r="469" spans="2:49" x14ac:dyDescent="0.25">
      <c r="B469" s="32"/>
      <c r="C469" s="26"/>
      <c r="D469" s="143"/>
      <c r="E469" s="26"/>
      <c r="F469" s="26"/>
      <c r="G469" s="26"/>
      <c r="H469" s="26"/>
      <c r="I469" s="26"/>
      <c r="J469" s="26"/>
      <c r="K469" s="26"/>
      <c r="L469" s="26"/>
      <c r="M469" s="26"/>
      <c r="N469" s="26"/>
      <c r="O469" s="26"/>
      <c r="P469" s="26"/>
      <c r="Q469" s="26"/>
      <c r="R469" s="27"/>
    </row>
    <row r="470" spans="2:49" x14ac:dyDescent="0.25">
      <c r="B470" s="32"/>
      <c r="C470" s="26"/>
      <c r="D470" s="143"/>
      <c r="E470" s="26"/>
      <c r="F470" s="26"/>
      <c r="G470" s="26"/>
      <c r="H470" s="26"/>
      <c r="I470" s="26"/>
      <c r="J470" s="26"/>
      <c r="K470" s="26"/>
      <c r="L470" s="26"/>
      <c r="M470" s="26"/>
      <c r="N470" s="26"/>
      <c r="O470" s="26"/>
      <c r="P470" s="26"/>
      <c r="Q470" s="26"/>
      <c r="R470" s="27"/>
    </row>
    <row r="471" spans="2:49" x14ac:dyDescent="0.25">
      <c r="B471" s="32"/>
      <c r="C471" s="26"/>
      <c r="D471" s="143"/>
      <c r="E471" s="26"/>
      <c r="F471" s="26"/>
      <c r="G471" s="26"/>
      <c r="H471" s="26"/>
      <c r="I471" s="26"/>
      <c r="J471" s="26"/>
      <c r="K471" s="26"/>
      <c r="L471" s="26"/>
      <c r="M471" s="26"/>
      <c r="N471" s="26"/>
      <c r="O471" s="26"/>
      <c r="P471" s="26"/>
      <c r="Q471" s="26"/>
      <c r="R471" s="27"/>
    </row>
    <row r="472" spans="2:49" x14ac:dyDescent="0.25">
      <c r="B472" s="32"/>
      <c r="C472" s="26"/>
      <c r="D472" s="143"/>
      <c r="E472" s="26"/>
      <c r="F472" s="26"/>
      <c r="G472" s="26"/>
      <c r="H472" s="26"/>
      <c r="I472" s="26"/>
      <c r="J472" s="26"/>
      <c r="K472" s="26"/>
      <c r="L472" s="26"/>
      <c r="M472" s="26"/>
      <c r="N472" s="26"/>
      <c r="O472" s="26"/>
      <c r="P472" s="26"/>
      <c r="Q472" s="26"/>
      <c r="R472" s="27"/>
    </row>
    <row r="473" spans="2:49" x14ac:dyDescent="0.25">
      <c r="B473" s="32"/>
      <c r="C473" s="26"/>
      <c r="D473" s="143"/>
      <c r="E473" s="26"/>
      <c r="F473" s="26"/>
      <c r="G473" s="26"/>
      <c r="H473" s="26"/>
      <c r="I473" s="26"/>
      <c r="J473" s="26"/>
      <c r="K473" s="26"/>
      <c r="L473" s="26"/>
      <c r="M473" s="26"/>
      <c r="N473" s="26"/>
      <c r="O473" s="26"/>
      <c r="P473" s="26"/>
      <c r="Q473" s="26"/>
      <c r="R473" s="27"/>
    </row>
    <row r="474" spans="2:49" ht="16.5" thickBot="1" x14ac:dyDescent="0.3">
      <c r="B474" s="171"/>
      <c r="C474" s="30"/>
      <c r="D474" s="276"/>
      <c r="E474" s="30"/>
      <c r="F474" s="30"/>
      <c r="G474" s="30"/>
      <c r="H474" s="30"/>
      <c r="I474" s="30"/>
      <c r="J474" s="30"/>
      <c r="K474" s="30"/>
      <c r="L474" s="30"/>
      <c r="M474" s="30"/>
      <c r="N474" s="30"/>
      <c r="O474" s="30"/>
      <c r="P474" s="30"/>
      <c r="Q474" s="30"/>
      <c r="R474" s="31"/>
    </row>
    <row r="475" spans="2:49" s="38" customFormat="1" ht="16.5" thickBot="1" x14ac:dyDescent="0.3">
      <c r="B475" s="39"/>
      <c r="C475" s="40"/>
      <c r="D475" s="4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c r="AO475" s="131"/>
      <c r="AP475" s="131"/>
      <c r="AQ475" s="131"/>
      <c r="AR475" s="131"/>
      <c r="AS475" s="131"/>
      <c r="AT475" s="131"/>
      <c r="AU475" s="131"/>
      <c r="AV475" s="131"/>
      <c r="AW475" s="131"/>
    </row>
    <row r="476" spans="2:49" ht="21.75" thickBot="1" x14ac:dyDescent="0.4">
      <c r="B476" s="200" t="s">
        <v>454</v>
      </c>
      <c r="C476" s="36"/>
      <c r="D476" s="22"/>
      <c r="E476" s="22"/>
      <c r="F476" s="22"/>
      <c r="G476" s="22"/>
      <c r="H476" s="22"/>
      <c r="I476" s="22"/>
      <c r="J476" s="22"/>
      <c r="K476" s="22"/>
      <c r="L476" s="22"/>
      <c r="M476" s="22"/>
      <c r="N476" s="22"/>
      <c r="O476" s="22"/>
      <c r="P476" s="22"/>
      <c r="Q476" s="22"/>
      <c r="R476" s="23"/>
    </row>
    <row r="477" spans="2:49" x14ac:dyDescent="0.25">
      <c r="B477" s="32"/>
      <c r="C477" s="24"/>
      <c r="D477" s="25"/>
      <c r="E477" s="26"/>
      <c r="F477" s="26"/>
      <c r="G477" s="26"/>
      <c r="H477" s="26"/>
      <c r="I477" s="26"/>
      <c r="J477" s="26"/>
      <c r="K477" s="26"/>
      <c r="L477" s="26"/>
      <c r="M477" s="26"/>
      <c r="N477" s="26"/>
      <c r="O477" s="26"/>
      <c r="P477" s="26"/>
      <c r="Q477" s="26"/>
      <c r="R477" s="27"/>
    </row>
    <row r="478" spans="2:49" x14ac:dyDescent="0.25">
      <c r="B478" s="32"/>
      <c r="C478" s="24"/>
      <c r="D478" s="25"/>
      <c r="E478" s="26"/>
      <c r="F478" s="26"/>
      <c r="G478" s="26"/>
      <c r="H478" s="26"/>
      <c r="I478" s="26"/>
      <c r="J478" s="26"/>
      <c r="K478" s="26"/>
      <c r="L478" s="26"/>
      <c r="M478" s="26"/>
      <c r="N478" s="26"/>
      <c r="O478" s="26"/>
      <c r="P478" s="26"/>
      <c r="Q478" s="26"/>
      <c r="R478" s="27"/>
    </row>
    <row r="479" spans="2:49" x14ac:dyDescent="0.25">
      <c r="B479" s="32"/>
      <c r="C479" s="24"/>
      <c r="D479" s="25"/>
      <c r="E479" s="26"/>
      <c r="F479" s="26"/>
      <c r="G479" s="26"/>
      <c r="H479" s="26"/>
      <c r="I479" s="26"/>
      <c r="J479" s="26"/>
      <c r="K479" s="26"/>
      <c r="L479" s="26"/>
      <c r="M479" s="26"/>
      <c r="N479" s="26"/>
      <c r="O479" s="26"/>
      <c r="P479" s="26"/>
      <c r="Q479" s="26"/>
      <c r="R479" s="27"/>
    </row>
    <row r="480" spans="2:49" x14ac:dyDescent="0.25">
      <c r="B480" s="32"/>
      <c r="C480" s="24"/>
      <c r="D480" s="25"/>
      <c r="E480" s="26"/>
      <c r="F480" s="26"/>
      <c r="G480" s="26"/>
      <c r="H480" s="26"/>
      <c r="I480" s="26"/>
      <c r="J480" s="26"/>
      <c r="K480" s="26"/>
      <c r="L480" s="26"/>
      <c r="M480" s="26"/>
      <c r="N480" s="26"/>
      <c r="O480" s="26"/>
      <c r="P480" s="26"/>
      <c r="Q480" s="26"/>
      <c r="R480" s="27"/>
    </row>
    <row r="481" spans="2:18" x14ac:dyDescent="0.25">
      <c r="B481" s="32"/>
      <c r="C481" s="24"/>
      <c r="D481" s="25"/>
      <c r="E481" s="26"/>
      <c r="F481" s="26"/>
      <c r="G481" s="26"/>
      <c r="H481" s="26"/>
      <c r="I481" s="26"/>
      <c r="J481" s="26"/>
      <c r="K481" s="26"/>
      <c r="L481" s="26"/>
      <c r="M481" s="26"/>
      <c r="N481" s="26"/>
      <c r="O481" s="26"/>
      <c r="P481" s="26"/>
      <c r="Q481" s="26"/>
      <c r="R481" s="27"/>
    </row>
    <row r="482" spans="2:18" x14ac:dyDescent="0.25">
      <c r="B482" s="32"/>
      <c r="C482" s="24"/>
      <c r="D482" s="25"/>
      <c r="E482" s="26"/>
      <c r="F482" s="26"/>
      <c r="G482" s="26"/>
      <c r="H482" s="26"/>
      <c r="I482" s="26"/>
      <c r="J482" s="26"/>
      <c r="K482" s="26"/>
      <c r="L482" s="26"/>
      <c r="M482" s="26"/>
      <c r="N482" s="26"/>
      <c r="O482" s="26"/>
      <c r="P482" s="26"/>
      <c r="Q482" s="26"/>
      <c r="R482" s="27"/>
    </row>
    <row r="483" spans="2:18" x14ac:dyDescent="0.25">
      <c r="B483" s="32"/>
      <c r="C483" s="24"/>
      <c r="D483" s="25"/>
      <c r="E483" s="26"/>
      <c r="F483" s="26"/>
      <c r="G483" s="26"/>
      <c r="H483" s="26"/>
      <c r="I483" s="26"/>
      <c r="J483" s="26"/>
      <c r="K483" s="26"/>
      <c r="L483" s="26"/>
      <c r="M483" s="26"/>
      <c r="N483" s="26"/>
      <c r="O483" s="26"/>
      <c r="P483" s="26"/>
      <c r="Q483" s="26"/>
      <c r="R483" s="27"/>
    </row>
    <row r="484" spans="2:18" x14ac:dyDescent="0.25">
      <c r="B484" s="32"/>
      <c r="C484" s="24"/>
      <c r="D484" s="25"/>
      <c r="E484" s="26"/>
      <c r="F484" s="26"/>
      <c r="G484" s="26"/>
      <c r="H484" s="26"/>
      <c r="I484" s="26"/>
      <c r="J484" s="26"/>
      <c r="K484" s="26"/>
      <c r="L484" s="26"/>
      <c r="M484" s="26"/>
      <c r="N484" s="26"/>
      <c r="O484" s="26"/>
      <c r="P484" s="26"/>
      <c r="Q484" s="26"/>
      <c r="R484" s="27"/>
    </row>
    <row r="485" spans="2:18" x14ac:dyDescent="0.25">
      <c r="B485" s="32"/>
      <c r="C485" s="24"/>
      <c r="D485" s="25"/>
      <c r="E485" s="26"/>
      <c r="F485" s="26"/>
      <c r="G485" s="26"/>
      <c r="H485" s="26"/>
      <c r="I485" s="26"/>
      <c r="J485" s="26"/>
      <c r="K485" s="26"/>
      <c r="L485" s="26"/>
      <c r="M485" s="26"/>
      <c r="N485" s="26"/>
      <c r="O485" s="26"/>
      <c r="P485" s="26"/>
      <c r="Q485" s="26"/>
      <c r="R485" s="27"/>
    </row>
    <row r="486" spans="2:18" x14ac:dyDescent="0.25">
      <c r="B486" s="32"/>
      <c r="C486" s="24"/>
      <c r="D486" s="25"/>
      <c r="E486" s="26"/>
      <c r="F486" s="26"/>
      <c r="G486" s="26"/>
      <c r="H486" s="26"/>
      <c r="I486" s="26"/>
      <c r="J486" s="26"/>
      <c r="K486" s="26"/>
      <c r="L486" s="26"/>
      <c r="M486" s="26"/>
      <c r="N486" s="26"/>
      <c r="O486" s="26"/>
      <c r="P486" s="26"/>
      <c r="Q486" s="26"/>
      <c r="R486" s="27"/>
    </row>
    <row r="487" spans="2:18" x14ac:dyDescent="0.25">
      <c r="B487" s="32"/>
      <c r="C487" s="24"/>
      <c r="D487" s="25"/>
      <c r="E487" s="26"/>
      <c r="F487" s="26"/>
      <c r="G487" s="26"/>
      <c r="H487" s="26"/>
      <c r="I487" s="26"/>
      <c r="J487" s="26"/>
      <c r="K487" s="26"/>
      <c r="L487" s="26"/>
      <c r="M487" s="26"/>
      <c r="N487" s="26"/>
      <c r="O487" s="26"/>
      <c r="P487" s="26"/>
      <c r="Q487" s="26"/>
      <c r="R487" s="27"/>
    </row>
    <row r="488" spans="2:18" ht="16.5" thickBot="1" x14ac:dyDescent="0.3">
      <c r="B488" s="32"/>
      <c r="C488" s="168"/>
      <c r="D488" s="168"/>
      <c r="E488" s="168"/>
      <c r="F488" s="168"/>
      <c r="G488" s="168"/>
      <c r="H488" s="168"/>
      <c r="I488" s="168"/>
      <c r="J488" s="26"/>
      <c r="K488" s="26"/>
      <c r="L488" s="26"/>
      <c r="M488" s="26"/>
      <c r="N488" s="26"/>
      <c r="O488" s="26"/>
      <c r="P488" s="26"/>
      <c r="Q488" s="26"/>
      <c r="R488" s="27"/>
    </row>
    <row r="489" spans="2:18" ht="19.5" thickBot="1" x14ac:dyDescent="0.35">
      <c r="B489" s="32"/>
      <c r="C489" s="302" t="s">
        <v>11</v>
      </c>
      <c r="D489" s="317" t="s">
        <v>7</v>
      </c>
      <c r="E489" s="318" t="s">
        <v>103</v>
      </c>
      <c r="F489" s="318" t="s">
        <v>104</v>
      </c>
      <c r="G489" s="318" t="s">
        <v>105</v>
      </c>
      <c r="H489" s="318" t="s">
        <v>106</v>
      </c>
      <c r="I489" s="318" t="s">
        <v>108</v>
      </c>
      <c r="J489" s="319" t="s">
        <v>268</v>
      </c>
      <c r="K489" s="26" t="s">
        <v>460</v>
      </c>
      <c r="L489" s="26"/>
      <c r="M489" s="26"/>
      <c r="N489" s="26"/>
      <c r="O489" s="26"/>
      <c r="P489" s="26"/>
      <c r="Q489" s="26"/>
      <c r="R489" s="27"/>
    </row>
    <row r="490" spans="2:18" x14ac:dyDescent="0.25">
      <c r="B490" s="32"/>
      <c r="C490" s="272" t="s">
        <v>458</v>
      </c>
      <c r="D490" s="183">
        <f>IF(AND(ISNUMBER(D364),ISNUMBER(D350)),D364/D350,"SIN DATOS")</f>
        <v>0.60896187069821928</v>
      </c>
      <c r="E490" s="184">
        <f>IF(AND(ISNUMBER(E364),ISNUMBER(E350)),E364/E350,"SIN DATOS")</f>
        <v>0.72313281384358352</v>
      </c>
      <c r="F490" s="184">
        <f>IF(AND(ISNUMBER(F364),ISNUMBER(F350)),F364/F350,"SIN DATOS")</f>
        <v>0.81548461928327998</v>
      </c>
      <c r="G490" s="184">
        <f>IF(AND(ISNUMBER(G364),ISNUMBER(G350)),G364/G350,"SIN DATOS")</f>
        <v>0.969041783421008</v>
      </c>
      <c r="H490" s="184">
        <f>IF(AND(ISNUMBER(H364),ISNUMBER(H350)),H364/H350,"SIN DATOS")</f>
        <v>1.1713186505829154</v>
      </c>
      <c r="I490" s="185">
        <f>IF(AND(ISNUMBER(D490),ISNUMBER(E490),ISNUMBER(F490),ISNUMBER(G490),ISNUMBER(H490)),TREND(D490:H490,D$304:H$304,I$304),"SIN DATOS")</f>
        <v>1.2687747063698462</v>
      </c>
      <c r="J490" s="177"/>
      <c r="K490" s="26"/>
      <c r="L490" s="26"/>
      <c r="M490" s="26"/>
      <c r="N490" s="26"/>
      <c r="O490" s="26"/>
      <c r="P490" s="26"/>
      <c r="Q490" s="26"/>
      <c r="R490" s="27"/>
    </row>
    <row r="491" spans="2:18" ht="16.5" thickBot="1" x14ac:dyDescent="0.3">
      <c r="B491" s="32"/>
      <c r="C491" s="186" t="s">
        <v>118</v>
      </c>
      <c r="D491" s="192">
        <f>Sector!F44/Sector!F107</f>
        <v>0.12267203690609557</v>
      </c>
      <c r="E491" s="193">
        <f>Sector!G44/Sector!G107</f>
        <v>0.11333839551566516</v>
      </c>
      <c r="F491" s="193">
        <f>Sector!H44/Sector!H107</f>
        <v>0.1137823387578269</v>
      </c>
      <c r="G491" s="193">
        <f>Sector!I44/Sector!I107</f>
        <v>9.7782056277926743E-2</v>
      </c>
      <c r="H491" s="193">
        <f>Sector!J44/Sector!J107</f>
        <v>9.3565847755880768E-2</v>
      </c>
      <c r="I491" s="187">
        <f>IF(AND(ISNUMBER(D491),ISNUMBER(E491),ISNUMBER(F491),ISNUMBER(G491),ISNUMBER(H491)),TREND(D491:H491,D$304:H$304,I$304),"SIN DATOS")</f>
        <v>8.6097519781228635E-2</v>
      </c>
      <c r="J491" s="176"/>
      <c r="K491" s="26"/>
      <c r="L491" s="26"/>
      <c r="M491" s="26"/>
      <c r="N491" s="26"/>
      <c r="O491" s="26"/>
      <c r="P491" s="26"/>
      <c r="Q491" s="26"/>
      <c r="R491" s="27"/>
    </row>
    <row r="492" spans="2:18" thickBot="1" x14ac:dyDescent="0.3">
      <c r="B492" s="32"/>
      <c r="C492" s="178" t="s">
        <v>457</v>
      </c>
      <c r="D492" s="179" t="str">
        <f t="shared" ref="D492:I492" si="58">IF(D490&gt;=D491,IF(D490=D491,"═","▲"),"▼")</f>
        <v>▲</v>
      </c>
      <c r="E492" s="180" t="str">
        <f t="shared" si="58"/>
        <v>▲</v>
      </c>
      <c r="F492" s="180" t="str">
        <f t="shared" si="58"/>
        <v>▲</v>
      </c>
      <c r="G492" s="180" t="str">
        <f t="shared" si="58"/>
        <v>▲</v>
      </c>
      <c r="H492" s="180" t="str">
        <f t="shared" si="58"/>
        <v>▲</v>
      </c>
      <c r="I492" s="181" t="str">
        <f t="shared" si="58"/>
        <v>▲</v>
      </c>
      <c r="J492" s="26"/>
      <c r="K492" s="26"/>
      <c r="L492" s="26"/>
      <c r="M492" s="26"/>
      <c r="N492" s="26"/>
      <c r="O492" s="26"/>
      <c r="P492" s="26"/>
      <c r="Q492" s="26"/>
      <c r="R492" s="27"/>
    </row>
    <row r="493" spans="2:18" ht="16.5" thickBot="1" x14ac:dyDescent="0.3">
      <c r="B493" s="32"/>
      <c r="C493" s="168"/>
      <c r="D493" s="169"/>
      <c r="E493" s="169"/>
      <c r="F493" s="169"/>
      <c r="G493" s="169"/>
      <c r="H493" s="169"/>
      <c r="I493" s="169"/>
      <c r="J493" s="26"/>
      <c r="K493" s="26"/>
      <c r="L493" s="26"/>
      <c r="M493" s="26"/>
      <c r="N493" s="26"/>
      <c r="O493" s="26"/>
      <c r="P493" s="26"/>
      <c r="Q493" s="26"/>
      <c r="R493" s="27"/>
    </row>
    <row r="494" spans="2:18" ht="19.5" thickBot="1" x14ac:dyDescent="0.35">
      <c r="B494" s="32"/>
      <c r="C494" s="302" t="s">
        <v>266</v>
      </c>
      <c r="D494" s="317" t="s">
        <v>7</v>
      </c>
      <c r="E494" s="318" t="s">
        <v>103</v>
      </c>
      <c r="F494" s="318" t="s">
        <v>104</v>
      </c>
      <c r="G494" s="318" t="s">
        <v>105</v>
      </c>
      <c r="H494" s="318" t="s">
        <v>106</v>
      </c>
      <c r="I494" s="318" t="s">
        <v>108</v>
      </c>
      <c r="J494" s="319" t="s">
        <v>268</v>
      </c>
      <c r="K494" s="26" t="s">
        <v>461</v>
      </c>
      <c r="L494" s="26"/>
      <c r="M494" s="26"/>
      <c r="N494" s="26"/>
      <c r="O494" s="26"/>
      <c r="P494" s="26"/>
      <c r="Q494" s="26"/>
      <c r="R494" s="27"/>
    </row>
    <row r="495" spans="2:18" x14ac:dyDescent="0.25">
      <c r="B495" s="32"/>
      <c r="C495" s="272" t="s">
        <v>458</v>
      </c>
      <c r="D495" s="183">
        <f>IF(AND(ISNUMBER(D364),ISNUMBER(D353)),D364/D353,"SIN DATOS")</f>
        <v>7.2222222222222215E-2</v>
      </c>
      <c r="E495" s="184">
        <f>IF(AND(ISNUMBER(E364),ISNUMBER(E353)),E364/E353,"SIN DATOS")</f>
        <v>8.7001078748651567E-2</v>
      </c>
      <c r="F495" s="184">
        <f>IF(AND(ISNUMBER(F364),ISNUMBER(F353)),F364/F353,"SIN DATOS")</f>
        <v>9.5812194996660993E-2</v>
      </c>
      <c r="G495" s="184">
        <f>IF(AND(ISNUMBER(G364),ISNUMBER(G353)),G364/G353,"SIN DATOS")</f>
        <v>0.11735612579927979</v>
      </c>
      <c r="H495" s="184">
        <f>IF(AND(ISNUMBER(H364),ISNUMBER(H353)),H364/H353,"SIN DATOS")</f>
        <v>0.15757428092479359</v>
      </c>
      <c r="I495" s="185">
        <f>IF(AND(ISNUMBER(D495),ISNUMBER(E495),ISNUMBER(F495),ISNUMBER(G495),ISNUMBER(H495)),TREND(D495:H495,D$304:H$304,I$304),"SIN DATOS")</f>
        <v>0.16631092987505292</v>
      </c>
      <c r="J495" s="177"/>
      <c r="K495" s="26"/>
      <c r="L495" s="26"/>
      <c r="M495" s="26"/>
      <c r="N495" s="26"/>
      <c r="O495" s="26"/>
      <c r="P495" s="26"/>
      <c r="Q495" s="26"/>
      <c r="R495" s="27"/>
    </row>
    <row r="496" spans="2:18" ht="16.5" thickBot="1" x14ac:dyDescent="0.3">
      <c r="B496" s="32"/>
      <c r="C496" s="186" t="s">
        <v>118</v>
      </c>
      <c r="D496" s="192">
        <f>Sector!F44/Sector!F10</f>
        <v>7.2441096480726552E-2</v>
      </c>
      <c r="E496" s="193">
        <f>Sector!G44/Sector!G10</f>
        <v>6.9787121802957347E-2</v>
      </c>
      <c r="F496" s="193">
        <f>Sector!H44/Sector!H10</f>
        <v>7.1195550782424386E-2</v>
      </c>
      <c r="G496" s="193">
        <f>Sector!I44/Sector!I10</f>
        <v>6.3779667987317809E-2</v>
      </c>
      <c r="H496" s="193">
        <f>Sector!J44/Sector!J10</f>
        <v>6.5542832660054895E-2</v>
      </c>
      <c r="I496" s="187">
        <f>IF(AND(ISNUMBER(D496),ISNUMBER(E496),ISNUMBER(F496),ISNUMBER(G496),ISNUMBER(H496)),TREND(D496:H496,D$304:H$304,I$304),"SIN DATOS")</f>
        <v>6.260805950560136E-2</v>
      </c>
      <c r="J496" s="176"/>
      <c r="K496" s="26"/>
      <c r="L496" s="26"/>
      <c r="M496" s="26"/>
      <c r="N496" s="26"/>
      <c r="O496" s="26"/>
      <c r="P496" s="26"/>
      <c r="Q496" s="26"/>
      <c r="R496" s="27"/>
    </row>
    <row r="497" spans="2:18" thickBot="1" x14ac:dyDescent="0.3">
      <c r="B497" s="32"/>
      <c r="C497" s="178" t="s">
        <v>457</v>
      </c>
      <c r="D497" s="179" t="str">
        <f t="shared" ref="D497:I497" si="59">IF(D495&gt;=D496,IF(D495=D496,"═","▲"),"▼")</f>
        <v>▼</v>
      </c>
      <c r="E497" s="180" t="str">
        <f t="shared" si="59"/>
        <v>▲</v>
      </c>
      <c r="F497" s="180" t="str">
        <f t="shared" si="59"/>
        <v>▲</v>
      </c>
      <c r="G497" s="180" t="str">
        <f t="shared" si="59"/>
        <v>▲</v>
      </c>
      <c r="H497" s="180" t="str">
        <f t="shared" si="59"/>
        <v>▲</v>
      </c>
      <c r="I497" s="181" t="str">
        <f t="shared" si="59"/>
        <v>▲</v>
      </c>
      <c r="J497" s="26"/>
      <c r="K497" s="26"/>
      <c r="L497" s="26"/>
      <c r="M497" s="26"/>
      <c r="N497" s="26"/>
      <c r="O497" s="26"/>
      <c r="P497" s="26"/>
      <c r="Q497" s="26"/>
      <c r="R497" s="27"/>
    </row>
    <row r="498" spans="2:18" ht="16.5" thickBot="1" x14ac:dyDescent="0.3">
      <c r="B498" s="32"/>
      <c r="C498" s="168"/>
      <c r="D498" s="169"/>
      <c r="E498" s="169"/>
      <c r="F498" s="169"/>
      <c r="G498" s="169"/>
      <c r="H498" s="169"/>
      <c r="I498" s="169"/>
      <c r="J498" s="26"/>
      <c r="K498" s="26"/>
      <c r="L498" s="26"/>
      <c r="M498" s="26"/>
      <c r="N498" s="26"/>
      <c r="O498" s="26"/>
      <c r="P498" s="26"/>
      <c r="Q498" s="26"/>
      <c r="R498" s="27"/>
    </row>
    <row r="499" spans="2:18" ht="19.5" thickBot="1" x14ac:dyDescent="0.35">
      <c r="B499" s="32"/>
      <c r="C499" s="302" t="s">
        <v>75</v>
      </c>
      <c r="D499" s="317" t="s">
        <v>7</v>
      </c>
      <c r="E499" s="318" t="s">
        <v>103</v>
      </c>
      <c r="F499" s="318" t="s">
        <v>104</v>
      </c>
      <c r="G499" s="318" t="s">
        <v>105</v>
      </c>
      <c r="H499" s="318" t="s">
        <v>106</v>
      </c>
      <c r="I499" s="318" t="s">
        <v>108</v>
      </c>
      <c r="J499" s="319" t="s">
        <v>268</v>
      </c>
      <c r="K499" s="26" t="s">
        <v>267</v>
      </c>
      <c r="L499" s="26"/>
      <c r="M499" s="26"/>
      <c r="N499" s="26"/>
      <c r="O499" s="26"/>
      <c r="P499" s="26"/>
      <c r="Q499" s="26"/>
      <c r="R499" s="27"/>
    </row>
    <row r="500" spans="2:18" x14ac:dyDescent="0.25">
      <c r="B500" s="32"/>
      <c r="C500" s="272" t="s">
        <v>458</v>
      </c>
      <c r="D500" s="183">
        <f>IF(AND(ISNUMBER(D353),ISNUMBER(D350)),D353/D350,"SIN DATOS")</f>
        <v>8.4317797481291912</v>
      </c>
      <c r="E500" s="184">
        <f>IF(AND(ISNUMBER(E353),ISNUMBER(E350)),E353/E350,"SIN DATOS")</f>
        <v>8.3117683624674754</v>
      </c>
      <c r="F500" s="184">
        <f>IF(AND(ISNUMBER(F353),ISNUMBER(F350)),F353/F350,"SIN DATOS")</f>
        <v>8.5112820900481321</v>
      </c>
      <c r="G500" s="184">
        <f>IF(AND(ISNUMBER(G353),ISNUMBER(G350)),G353/G350,"SIN DATOS")</f>
        <v>8.257274827548498</v>
      </c>
      <c r="H500" s="184">
        <f>IF(AND(ISNUMBER(H353),ISNUMBER(H350)),H353/H350,"SIN DATOS")</f>
        <v>7.4334380186190252</v>
      </c>
      <c r="I500" s="185">
        <f>IF(AND(ISNUMBER(D500),ISNUMBER(E500),ISNUMBER(F500),ISNUMBER(G500),ISNUMBER(H500)),TREND(D500:H500,D$304:H$304,I$304),"SIN DATOS")</f>
        <v>7.5737555111806714</v>
      </c>
      <c r="J500" s="177"/>
      <c r="K500" s="26"/>
      <c r="L500" s="26"/>
      <c r="M500" s="26"/>
      <c r="N500" s="26"/>
      <c r="O500" s="26"/>
      <c r="P500" s="26"/>
      <c r="Q500" s="26"/>
      <c r="R500" s="27"/>
    </row>
    <row r="501" spans="2:18" ht="16.5" thickBot="1" x14ac:dyDescent="0.3">
      <c r="B501" s="32"/>
      <c r="C501" s="186" t="s">
        <v>118</v>
      </c>
      <c r="D501" s="192">
        <f>Sector!F10/Sector!F107</f>
        <v>1.6934039221608592</v>
      </c>
      <c r="E501" s="193">
        <f>Sector!G10/Sector!G107</f>
        <v>1.6240588891984116</v>
      </c>
      <c r="F501" s="193">
        <f>Sector!H10/Sector!H107</f>
        <v>1.5981664234264994</v>
      </c>
      <c r="G501" s="193">
        <f>Sector!I10/Sector!I107</f>
        <v>1.5331226919740331</v>
      </c>
      <c r="H501" s="193">
        <f>Sector!J10/Sector!J107</f>
        <v>1.4275527004023509</v>
      </c>
      <c r="I501" s="187">
        <f>IF(AND(ISNUMBER(D501),ISNUMBER(E501),ISNUMBER(F501),ISNUMBER(G501),ISNUMBER(H501)),TREND(D501:H501,D$304:H$304,I$304),"SIN DATOS")</f>
        <v>1.3884693332100122</v>
      </c>
      <c r="J501" s="176"/>
      <c r="K501" s="26"/>
      <c r="L501" s="26"/>
      <c r="M501" s="26"/>
      <c r="N501" s="26"/>
      <c r="O501" s="26"/>
      <c r="P501" s="26"/>
      <c r="Q501" s="26"/>
      <c r="R501" s="27"/>
    </row>
    <row r="502" spans="2:18" thickBot="1" x14ac:dyDescent="0.3">
      <c r="B502" s="32"/>
      <c r="C502" s="178" t="s">
        <v>457</v>
      </c>
      <c r="D502" s="179" t="str">
        <f t="shared" ref="D502:I502" si="60">IF(D500&gt;=D501,IF(D500=D501,"═","▲"),"▼")</f>
        <v>▲</v>
      </c>
      <c r="E502" s="180" t="str">
        <f t="shared" si="60"/>
        <v>▲</v>
      </c>
      <c r="F502" s="180" t="str">
        <f t="shared" si="60"/>
        <v>▲</v>
      </c>
      <c r="G502" s="180" t="str">
        <f t="shared" si="60"/>
        <v>▲</v>
      </c>
      <c r="H502" s="180" t="str">
        <f t="shared" si="60"/>
        <v>▲</v>
      </c>
      <c r="I502" s="181" t="str">
        <f t="shared" si="60"/>
        <v>▲</v>
      </c>
      <c r="J502" s="26"/>
      <c r="K502" s="26"/>
      <c r="L502" s="26"/>
      <c r="M502" s="26"/>
      <c r="N502" s="26"/>
      <c r="O502" s="26"/>
      <c r="P502" s="26"/>
      <c r="Q502" s="26"/>
      <c r="R502" s="27"/>
    </row>
    <row r="503" spans="2:18" x14ac:dyDescent="0.25">
      <c r="B503" s="32"/>
      <c r="C503" s="168"/>
      <c r="D503" s="168"/>
      <c r="E503" s="168"/>
      <c r="F503" s="168"/>
      <c r="G503" s="168"/>
      <c r="H503" s="168"/>
      <c r="I503" s="168"/>
      <c r="J503" s="168"/>
      <c r="K503" s="167"/>
      <c r="L503" s="26"/>
      <c r="M503" s="26"/>
      <c r="N503" s="26"/>
      <c r="O503" s="26"/>
      <c r="P503" s="26"/>
      <c r="Q503" s="26"/>
      <c r="R503" s="27"/>
    </row>
    <row r="504" spans="2:18" ht="16.5" thickBot="1" x14ac:dyDescent="0.3">
      <c r="B504" s="32"/>
      <c r="C504" s="168"/>
      <c r="D504" s="168"/>
      <c r="E504" s="168"/>
      <c r="F504" s="168"/>
      <c r="G504" s="168"/>
      <c r="H504" s="168"/>
      <c r="I504" s="168"/>
      <c r="J504" s="168"/>
      <c r="K504" s="167"/>
      <c r="L504" s="26"/>
      <c r="M504" s="26"/>
      <c r="N504" s="26"/>
      <c r="O504" s="26"/>
      <c r="P504" s="26"/>
      <c r="Q504" s="26"/>
      <c r="R504" s="27"/>
    </row>
    <row r="505" spans="2:18" ht="19.5" thickBot="1" x14ac:dyDescent="0.35">
      <c r="B505" s="32"/>
      <c r="C505" s="289" t="s">
        <v>631</v>
      </c>
      <c r="D505" s="168"/>
      <c r="E505" s="168"/>
      <c r="F505" s="168"/>
      <c r="G505" s="168"/>
      <c r="H505" s="168"/>
      <c r="I505" s="168"/>
      <c r="J505" s="168"/>
      <c r="K505" s="167"/>
      <c r="L505" s="26"/>
      <c r="M505" s="26"/>
      <c r="N505" s="26"/>
      <c r="O505" s="26"/>
      <c r="P505" s="26"/>
      <c r="Q505" s="26"/>
      <c r="R505" s="27"/>
    </row>
    <row r="506" spans="2:18" x14ac:dyDescent="0.25">
      <c r="B506" s="32"/>
      <c r="C506" s="168"/>
      <c r="D506" s="168"/>
      <c r="E506" s="168"/>
      <c r="F506" s="168"/>
      <c r="G506" s="168"/>
      <c r="H506" s="168"/>
      <c r="I506" s="168"/>
      <c r="J506" s="168"/>
      <c r="K506" s="167"/>
      <c r="L506" s="26"/>
      <c r="M506" s="26"/>
      <c r="N506" s="26"/>
      <c r="O506" s="26"/>
      <c r="P506" s="26"/>
      <c r="Q506" s="26"/>
      <c r="R506" s="27"/>
    </row>
    <row r="507" spans="2:18" x14ac:dyDescent="0.25">
      <c r="B507" s="32"/>
      <c r="C507" s="168"/>
      <c r="D507" s="168"/>
      <c r="E507" s="168"/>
      <c r="F507" s="168"/>
      <c r="G507" s="168"/>
      <c r="H507" s="168"/>
      <c r="I507" s="168"/>
      <c r="J507" s="168"/>
      <c r="K507" s="167"/>
      <c r="L507" s="26"/>
      <c r="M507" s="26"/>
      <c r="N507" s="26"/>
      <c r="O507" s="26"/>
      <c r="P507" s="26"/>
      <c r="Q507" s="26"/>
      <c r="R507" s="27"/>
    </row>
    <row r="508" spans="2:18" x14ac:dyDescent="0.25">
      <c r="B508" s="32"/>
      <c r="C508" s="168"/>
      <c r="D508" s="168"/>
      <c r="E508" s="168"/>
      <c r="F508" s="168"/>
      <c r="G508" s="168"/>
      <c r="H508" s="168"/>
      <c r="I508" s="168"/>
      <c r="J508" s="168"/>
      <c r="K508" s="167"/>
      <c r="L508" s="26"/>
      <c r="M508" s="26"/>
      <c r="N508" s="26"/>
      <c r="O508" s="26"/>
      <c r="P508" s="26"/>
      <c r="Q508" s="26"/>
      <c r="R508" s="27"/>
    </row>
    <row r="509" spans="2:18" x14ac:dyDescent="0.25">
      <c r="B509" s="32"/>
      <c r="C509" s="168"/>
      <c r="D509" s="168"/>
      <c r="E509" s="168"/>
      <c r="F509" s="168"/>
      <c r="G509" s="168"/>
      <c r="H509" s="168"/>
      <c r="I509" s="168"/>
      <c r="J509" s="168"/>
      <c r="K509" s="167"/>
      <c r="L509" s="26"/>
      <c r="M509" s="26"/>
      <c r="N509" s="26"/>
      <c r="O509" s="26"/>
      <c r="P509" s="26"/>
      <c r="Q509" s="26"/>
      <c r="R509" s="27"/>
    </row>
    <row r="510" spans="2:18" x14ac:dyDescent="0.25">
      <c r="B510" s="32"/>
      <c r="C510" s="168"/>
      <c r="D510" s="168"/>
      <c r="E510" s="168"/>
      <c r="F510" s="168"/>
      <c r="G510" s="168"/>
      <c r="H510" s="168"/>
      <c r="I510" s="168"/>
      <c r="J510" s="168"/>
      <c r="K510" s="167"/>
      <c r="L510" s="26"/>
      <c r="M510" s="26"/>
      <c r="N510" s="26"/>
      <c r="O510" s="26"/>
      <c r="P510" s="26"/>
      <c r="Q510" s="26"/>
      <c r="R510" s="27"/>
    </row>
    <row r="511" spans="2:18" x14ac:dyDescent="0.25">
      <c r="B511" s="32"/>
      <c r="C511" s="168"/>
      <c r="D511" s="168"/>
      <c r="E511" s="168"/>
      <c r="F511" s="168"/>
      <c r="G511" s="168"/>
      <c r="H511" s="168"/>
      <c r="I511" s="168"/>
      <c r="J511" s="168"/>
      <c r="K511" s="167"/>
      <c r="L511" s="26"/>
      <c r="M511" s="26"/>
      <c r="N511" s="26"/>
      <c r="O511" s="26"/>
      <c r="P511" s="26"/>
      <c r="Q511" s="26"/>
      <c r="R511" s="27"/>
    </row>
    <row r="512" spans="2:18" x14ac:dyDescent="0.25">
      <c r="B512" s="32"/>
      <c r="C512" s="168"/>
      <c r="D512" s="168"/>
      <c r="E512" s="168"/>
      <c r="F512" s="168"/>
      <c r="G512" s="168"/>
      <c r="H512" s="168"/>
      <c r="I512" s="168"/>
      <c r="J512" s="168"/>
      <c r="K512" s="167"/>
      <c r="L512" s="26"/>
      <c r="M512" s="26"/>
      <c r="N512" s="26"/>
      <c r="O512" s="26"/>
      <c r="P512" s="26"/>
      <c r="Q512" s="26"/>
      <c r="R512" s="27"/>
    </row>
    <row r="513" spans="2:18" x14ac:dyDescent="0.25">
      <c r="B513" s="32"/>
      <c r="C513" s="168"/>
      <c r="D513" s="168"/>
      <c r="E513" s="168"/>
      <c r="F513" s="168"/>
      <c r="G513" s="168"/>
      <c r="H513" s="168"/>
      <c r="I513" s="168"/>
      <c r="J513" s="168"/>
      <c r="K513" s="167"/>
      <c r="L513" s="26"/>
      <c r="M513" s="26"/>
      <c r="N513" s="26"/>
      <c r="O513" s="26"/>
      <c r="P513" s="26"/>
      <c r="Q513" s="26"/>
      <c r="R513" s="27"/>
    </row>
    <row r="514" spans="2:18" x14ac:dyDescent="0.25">
      <c r="B514" s="32"/>
      <c r="C514" s="168"/>
      <c r="D514" s="169"/>
      <c r="E514" s="168"/>
      <c r="F514" s="168"/>
      <c r="G514" s="168"/>
      <c r="H514" s="168"/>
      <c r="I514" s="168"/>
      <c r="J514" s="168"/>
      <c r="K514" s="167"/>
      <c r="L514" s="26"/>
      <c r="M514" s="26"/>
      <c r="N514" s="26"/>
      <c r="O514" s="26"/>
      <c r="P514" s="26"/>
      <c r="Q514" s="26"/>
      <c r="R514" s="27"/>
    </row>
    <row r="515" spans="2:18" x14ac:dyDescent="0.25">
      <c r="B515" s="32"/>
      <c r="C515" s="168"/>
      <c r="D515" s="169"/>
      <c r="E515" s="168"/>
      <c r="F515" s="168"/>
      <c r="G515" s="168"/>
      <c r="H515" s="168"/>
      <c r="I515" s="168"/>
      <c r="J515" s="168"/>
      <c r="K515" s="167"/>
      <c r="L515" s="26"/>
      <c r="M515" s="26"/>
      <c r="N515" s="26"/>
      <c r="O515" s="26"/>
      <c r="P515" s="26"/>
      <c r="Q515" s="26"/>
      <c r="R515" s="27"/>
    </row>
    <row r="516" spans="2:18" x14ac:dyDescent="0.25">
      <c r="B516" s="32"/>
      <c r="C516" s="168"/>
      <c r="D516" s="168"/>
      <c r="E516" s="168"/>
      <c r="F516" s="168"/>
      <c r="G516" s="168"/>
      <c r="H516" s="168"/>
      <c r="I516" s="168"/>
      <c r="J516" s="168"/>
      <c r="K516" s="167"/>
      <c r="L516" s="26"/>
      <c r="M516" s="26"/>
      <c r="N516" s="26"/>
      <c r="O516" s="26"/>
      <c r="P516" s="26"/>
      <c r="Q516" s="26"/>
      <c r="R516" s="27"/>
    </row>
    <row r="517" spans="2:18" x14ac:dyDescent="0.25">
      <c r="B517" s="32"/>
      <c r="C517" s="168"/>
      <c r="D517" s="168"/>
      <c r="E517" s="168"/>
      <c r="F517" s="168"/>
      <c r="G517" s="168"/>
      <c r="H517" s="168"/>
      <c r="I517" s="168"/>
      <c r="J517" s="168"/>
      <c r="K517" s="167"/>
      <c r="L517" s="26"/>
      <c r="M517" s="26"/>
      <c r="N517" s="26"/>
      <c r="O517" s="26"/>
      <c r="P517" s="26"/>
      <c r="Q517" s="26"/>
      <c r="R517" s="27"/>
    </row>
    <row r="518" spans="2:18" x14ac:dyDescent="0.25">
      <c r="B518" s="32"/>
      <c r="C518" s="168"/>
      <c r="D518" s="168"/>
      <c r="E518" s="168"/>
      <c r="F518" s="168"/>
      <c r="G518" s="168"/>
      <c r="H518" s="168"/>
      <c r="I518" s="168"/>
      <c r="J518" s="168"/>
      <c r="K518" s="167"/>
      <c r="L518" s="26"/>
      <c r="M518" s="26"/>
      <c r="N518" s="26"/>
      <c r="O518" s="26"/>
      <c r="P518" s="26"/>
      <c r="Q518" s="26"/>
      <c r="R518" s="27"/>
    </row>
    <row r="519" spans="2:18" x14ac:dyDescent="0.25">
      <c r="B519" s="32"/>
      <c r="C519" s="168"/>
      <c r="D519" s="168"/>
      <c r="E519" s="168"/>
      <c r="F519" s="168"/>
      <c r="G519" s="168"/>
      <c r="H519" s="168"/>
      <c r="I519" s="168"/>
      <c r="J519" s="168"/>
      <c r="K519" s="167"/>
      <c r="L519" s="26"/>
      <c r="M519" s="26"/>
      <c r="N519" s="26"/>
      <c r="O519" s="26"/>
      <c r="P519" s="26"/>
      <c r="Q519" s="26"/>
      <c r="R519" s="27"/>
    </row>
    <row r="520" spans="2:18" x14ac:dyDescent="0.25">
      <c r="B520" s="32"/>
      <c r="C520" s="168"/>
      <c r="D520" s="168"/>
      <c r="E520" s="168"/>
      <c r="F520" s="168"/>
      <c r="G520" s="168"/>
      <c r="H520" s="168"/>
      <c r="I520" s="168"/>
      <c r="J520" s="168"/>
      <c r="K520" s="167"/>
      <c r="L520" s="26"/>
      <c r="M520" s="26"/>
      <c r="N520" s="26"/>
      <c r="O520" s="26"/>
      <c r="P520" s="26"/>
      <c r="Q520" s="26"/>
      <c r="R520" s="27"/>
    </row>
    <row r="521" spans="2:18" x14ac:dyDescent="0.25">
      <c r="B521" s="32"/>
      <c r="C521" s="168"/>
      <c r="D521" s="168"/>
      <c r="E521" s="168"/>
      <c r="F521" s="168"/>
      <c r="G521" s="168"/>
      <c r="H521" s="168"/>
      <c r="I521" s="168"/>
      <c r="J521" s="168"/>
      <c r="K521" s="167"/>
      <c r="L521" s="26"/>
      <c r="M521" s="26"/>
      <c r="N521" s="26"/>
      <c r="O521" s="26"/>
      <c r="P521" s="26"/>
      <c r="Q521" s="26"/>
      <c r="R521" s="27"/>
    </row>
    <row r="522" spans="2:18" x14ac:dyDescent="0.25">
      <c r="B522" s="32"/>
      <c r="C522" s="168"/>
      <c r="D522" s="168"/>
      <c r="E522" s="168"/>
      <c r="F522" s="168"/>
      <c r="G522" s="168"/>
      <c r="H522" s="168"/>
      <c r="I522" s="168"/>
      <c r="J522" s="168"/>
      <c r="K522" s="167"/>
      <c r="L522" s="26"/>
      <c r="M522" s="26"/>
      <c r="N522" s="26"/>
      <c r="O522" s="26"/>
      <c r="P522" s="26"/>
      <c r="Q522" s="26"/>
      <c r="R522" s="27"/>
    </row>
    <row r="523" spans="2:18" x14ac:dyDescent="0.25">
      <c r="B523" s="32"/>
      <c r="C523" s="168"/>
      <c r="D523" s="168"/>
      <c r="E523" s="168"/>
      <c r="F523" s="168"/>
      <c r="G523" s="168"/>
      <c r="H523" s="168"/>
      <c r="I523" s="168"/>
      <c r="J523" s="168"/>
      <c r="K523" s="167"/>
      <c r="L523" s="26"/>
      <c r="M523" s="26"/>
      <c r="N523" s="26"/>
      <c r="O523" s="26"/>
      <c r="P523" s="26"/>
      <c r="Q523" s="26"/>
      <c r="R523" s="27"/>
    </row>
    <row r="524" spans="2:18" ht="16.5" thickBot="1" x14ac:dyDescent="0.3">
      <c r="B524" s="32"/>
      <c r="C524" s="168"/>
      <c r="D524" s="168"/>
      <c r="E524" s="168"/>
      <c r="F524" s="168"/>
      <c r="G524" s="168"/>
      <c r="H524" s="168"/>
      <c r="I524" s="168"/>
      <c r="J524" s="168"/>
      <c r="K524" s="167"/>
      <c r="L524" s="26"/>
      <c r="M524" s="26"/>
      <c r="N524" s="26"/>
      <c r="O524" s="26"/>
      <c r="P524" s="26"/>
      <c r="Q524" s="26"/>
      <c r="R524" s="27"/>
    </row>
    <row r="525" spans="2:18" ht="19.5" thickBot="1" x14ac:dyDescent="0.35">
      <c r="B525" s="32"/>
      <c r="C525" s="302" t="s">
        <v>12</v>
      </c>
      <c r="D525" s="317" t="s">
        <v>7</v>
      </c>
      <c r="E525" s="318" t="s">
        <v>103</v>
      </c>
      <c r="F525" s="318" t="s">
        <v>104</v>
      </c>
      <c r="G525" s="318" t="s">
        <v>105</v>
      </c>
      <c r="H525" s="318" t="s">
        <v>106</v>
      </c>
      <c r="I525" s="318" t="s">
        <v>108</v>
      </c>
      <c r="J525" s="319" t="s">
        <v>268</v>
      </c>
      <c r="K525" s="26" t="s">
        <v>462</v>
      </c>
      <c r="L525" s="26"/>
      <c r="M525" s="26"/>
      <c r="N525" s="26"/>
      <c r="O525" s="26"/>
      <c r="P525" s="26"/>
      <c r="Q525" s="26"/>
      <c r="R525" s="27"/>
    </row>
    <row r="526" spans="2:18" x14ac:dyDescent="0.25">
      <c r="B526" s="32"/>
      <c r="C526" s="272" t="s">
        <v>458</v>
      </c>
      <c r="D526" s="183">
        <f>IF(AND(ISNUMBER(D373),ISNUMBER(D323)),D373/D323,"SIN DATOS")</f>
        <v>0.54024679833194311</v>
      </c>
      <c r="E526" s="184">
        <f>IF(AND(ISNUMBER(E373),ISNUMBER(E323)),E373/E323,"SIN DATOS")</f>
        <v>0.61296992771576486</v>
      </c>
      <c r="F526" s="184">
        <f>IF(AND(ISNUMBER(F373),ISNUMBER(F323)),F373/F323,"SIN DATOS")</f>
        <v>0.66274965922878404</v>
      </c>
      <c r="G526" s="184">
        <f>IF(AND(ISNUMBER(G373),ISNUMBER(G323)),G373/G323,"SIN DATOS")</f>
        <v>0.7537705982733518</v>
      </c>
      <c r="H526" s="184">
        <f>IF(AND(ISNUMBER(H373),ISNUMBER(H323)),H373/H323,"SIN DATOS")</f>
        <v>0.87769652887639071</v>
      </c>
      <c r="I526" s="185">
        <f>IF(AND(ISNUMBER(D526),ISNUMBER(E526),ISNUMBER(F526),ISNUMBER(G526),ISNUMBER(H526)),TREND(D526:H526,D$304:H$304,I$304),"SIN DATOS")</f>
        <v>0.93419674197919167</v>
      </c>
      <c r="J526" s="177"/>
      <c r="K526" s="26"/>
      <c r="L526" s="26"/>
      <c r="M526" s="26"/>
      <c r="N526" s="26"/>
      <c r="O526" s="26"/>
      <c r="P526" s="26"/>
      <c r="Q526" s="26"/>
      <c r="R526" s="27"/>
    </row>
    <row r="527" spans="2:18" ht="16.5" thickBot="1" x14ac:dyDescent="0.3">
      <c r="B527" s="32"/>
      <c r="C527" s="186" t="s">
        <v>118</v>
      </c>
      <c r="D527" s="192">
        <f>Sector!F74/Sector!F108</f>
        <v>0.14017007569846482</v>
      </c>
      <c r="E527" s="193">
        <f>Sector!G74/Sector!G108</f>
        <v>0.13853374750938283</v>
      </c>
      <c r="F527" s="193">
        <f>Sector!H74/Sector!H108</f>
        <v>0.157739219917439</v>
      </c>
      <c r="G527" s="193">
        <f>Sector!I74/Sector!I108</f>
        <v>0.11292739945956078</v>
      </c>
      <c r="H527" s="193">
        <f>Sector!J74/Sector!J108</f>
        <v>9.0852129956304123E-2</v>
      </c>
      <c r="I527" s="187">
        <f>IF(AND(ISNUMBER(D527),ISNUMBER(E527),ISNUMBER(F527),ISNUMBER(G527),ISNUMBER(H527)),TREND(D527:H527,D$304:H$304,I$304),"SIN DATOS")</f>
        <v>9.077184264798728E-2</v>
      </c>
      <c r="J527" s="176"/>
      <c r="K527" s="26"/>
      <c r="L527" s="26"/>
      <c r="M527" s="26"/>
      <c r="N527" s="26"/>
      <c r="O527" s="26"/>
      <c r="P527" s="26"/>
      <c r="Q527" s="26"/>
      <c r="R527" s="27"/>
    </row>
    <row r="528" spans="2:18" thickBot="1" x14ac:dyDescent="0.3">
      <c r="B528" s="32"/>
      <c r="C528" s="178" t="s">
        <v>457</v>
      </c>
      <c r="D528" s="179" t="str">
        <f t="shared" ref="D528:I528" si="61">IF(D526&gt;=D527,IF(D526=D527,"═","▲"),"▼")</f>
        <v>▲</v>
      </c>
      <c r="E528" s="180" t="str">
        <f t="shared" si="61"/>
        <v>▲</v>
      </c>
      <c r="F528" s="180" t="str">
        <f t="shared" si="61"/>
        <v>▲</v>
      </c>
      <c r="G528" s="180" t="str">
        <f t="shared" si="61"/>
        <v>▲</v>
      </c>
      <c r="H528" s="180" t="str">
        <f t="shared" si="61"/>
        <v>▲</v>
      </c>
      <c r="I528" s="181" t="str">
        <f t="shared" si="61"/>
        <v>▲</v>
      </c>
      <c r="J528" s="26"/>
      <c r="K528" s="26"/>
      <c r="L528" s="26"/>
      <c r="M528" s="26"/>
      <c r="N528" s="26"/>
      <c r="O528" s="26"/>
      <c r="P528" s="26"/>
      <c r="Q528" s="26"/>
      <c r="R528" s="27"/>
    </row>
    <row r="529" spans="2:18" x14ac:dyDescent="0.25">
      <c r="B529" s="32"/>
      <c r="C529" s="168"/>
      <c r="D529" s="168"/>
      <c r="E529" s="168"/>
      <c r="F529" s="168"/>
      <c r="G529" s="168"/>
      <c r="H529" s="168"/>
      <c r="I529" s="168"/>
      <c r="J529" s="168"/>
      <c r="K529" s="167"/>
      <c r="L529" s="26"/>
      <c r="M529" s="26"/>
      <c r="N529" s="26"/>
      <c r="O529" s="26"/>
      <c r="P529" s="26"/>
      <c r="Q529" s="26"/>
      <c r="R529" s="27"/>
    </row>
    <row r="530" spans="2:18" x14ac:dyDescent="0.25">
      <c r="B530" s="32"/>
      <c r="C530" s="168"/>
      <c r="D530" s="168"/>
      <c r="E530" s="168"/>
      <c r="F530" s="168"/>
      <c r="G530" s="168"/>
      <c r="H530" s="168"/>
      <c r="I530" s="168"/>
      <c r="J530" s="168"/>
      <c r="K530" s="167"/>
      <c r="L530" s="26"/>
      <c r="M530" s="26"/>
      <c r="N530" s="26"/>
      <c r="O530" s="26"/>
      <c r="P530" s="26"/>
      <c r="Q530" s="26"/>
      <c r="R530" s="27"/>
    </row>
    <row r="531" spans="2:18" x14ac:dyDescent="0.25">
      <c r="B531" s="32"/>
      <c r="C531" s="168"/>
      <c r="D531" s="168"/>
      <c r="E531" s="168"/>
      <c r="F531" s="168"/>
      <c r="G531" s="168"/>
      <c r="H531" s="168"/>
      <c r="I531" s="168"/>
      <c r="J531" s="168"/>
      <c r="K531" s="167"/>
      <c r="L531" s="26"/>
      <c r="M531" s="26"/>
      <c r="N531" s="26"/>
      <c r="O531" s="26"/>
      <c r="P531" s="26"/>
      <c r="Q531" s="26"/>
      <c r="R531" s="27"/>
    </row>
    <row r="532" spans="2:18" x14ac:dyDescent="0.25">
      <c r="B532" s="32"/>
      <c r="C532" s="168"/>
      <c r="D532" s="168"/>
      <c r="E532" s="168"/>
      <c r="F532" s="168"/>
      <c r="G532" s="168"/>
      <c r="H532" s="168"/>
      <c r="I532" s="168"/>
      <c r="J532" s="168"/>
      <c r="K532" s="167"/>
      <c r="L532" s="26"/>
      <c r="M532" s="26"/>
      <c r="N532" s="26"/>
      <c r="O532" s="26"/>
      <c r="P532" s="26"/>
      <c r="Q532" s="26"/>
      <c r="R532" s="27"/>
    </row>
    <row r="533" spans="2:18" x14ac:dyDescent="0.25">
      <c r="B533" s="32"/>
      <c r="C533" s="168"/>
      <c r="D533" s="168"/>
      <c r="E533" s="168"/>
      <c r="F533" s="168"/>
      <c r="G533" s="168"/>
      <c r="H533" s="168"/>
      <c r="I533" s="168"/>
      <c r="J533" s="168"/>
      <c r="K533" s="167"/>
      <c r="L533" s="26"/>
      <c r="M533" s="26"/>
      <c r="N533" s="26"/>
      <c r="O533" s="26"/>
      <c r="P533" s="26"/>
      <c r="Q533" s="26"/>
      <c r="R533" s="27"/>
    </row>
    <row r="534" spans="2:18" x14ac:dyDescent="0.25">
      <c r="B534" s="32"/>
      <c r="C534" s="168"/>
      <c r="D534" s="168"/>
      <c r="E534" s="168"/>
      <c r="F534" s="168"/>
      <c r="G534" s="168"/>
      <c r="H534" s="168"/>
      <c r="I534" s="168"/>
      <c r="J534" s="168"/>
      <c r="K534" s="167"/>
      <c r="L534" s="26"/>
      <c r="M534" s="26"/>
      <c r="N534" s="26"/>
      <c r="O534" s="26"/>
      <c r="P534" s="26"/>
      <c r="Q534" s="26"/>
      <c r="R534" s="27"/>
    </row>
    <row r="535" spans="2:18" x14ac:dyDescent="0.25">
      <c r="B535" s="32"/>
      <c r="C535" s="168"/>
      <c r="D535" s="168"/>
      <c r="E535" s="168"/>
      <c r="F535" s="168"/>
      <c r="G535" s="168"/>
      <c r="H535" s="168"/>
      <c r="I535" s="168"/>
      <c r="J535" s="168"/>
      <c r="K535" s="167"/>
      <c r="L535" s="26"/>
      <c r="M535" s="26"/>
      <c r="N535" s="26"/>
      <c r="O535" s="26"/>
      <c r="P535" s="26"/>
      <c r="Q535" s="26"/>
      <c r="R535" s="27"/>
    </row>
    <row r="536" spans="2:18" x14ac:dyDescent="0.25">
      <c r="B536" s="32"/>
      <c r="C536" s="168"/>
      <c r="D536" s="168"/>
      <c r="E536" s="168"/>
      <c r="F536" s="168"/>
      <c r="G536" s="168"/>
      <c r="H536" s="168"/>
      <c r="I536" s="168"/>
      <c r="J536" s="168"/>
      <c r="K536" s="167"/>
      <c r="L536" s="26"/>
      <c r="M536" s="26"/>
      <c r="N536" s="26"/>
      <c r="O536" s="26"/>
      <c r="P536" s="26"/>
      <c r="Q536" s="26"/>
      <c r="R536" s="27"/>
    </row>
    <row r="537" spans="2:18" x14ac:dyDescent="0.25">
      <c r="B537" s="32"/>
      <c r="C537" s="168"/>
      <c r="D537" s="168"/>
      <c r="E537" s="168"/>
      <c r="F537" s="168"/>
      <c r="G537" s="168"/>
      <c r="H537" s="168"/>
      <c r="I537" s="168"/>
      <c r="J537" s="168"/>
      <c r="K537" s="167"/>
      <c r="L537" s="26"/>
      <c r="M537" s="26"/>
      <c r="N537" s="26"/>
      <c r="O537" s="26"/>
      <c r="P537" s="26"/>
      <c r="Q537" s="26"/>
      <c r="R537" s="27"/>
    </row>
    <row r="538" spans="2:18" x14ac:dyDescent="0.25">
      <c r="B538" s="32"/>
      <c r="C538" s="168"/>
      <c r="D538" s="168"/>
      <c r="E538" s="168"/>
      <c r="F538" s="168"/>
      <c r="G538" s="168"/>
      <c r="H538" s="168"/>
      <c r="I538" s="168"/>
      <c r="J538" s="168"/>
      <c r="K538" s="167"/>
      <c r="L538" s="26"/>
      <c r="M538" s="26"/>
      <c r="N538" s="26"/>
      <c r="O538" s="26"/>
      <c r="P538" s="26"/>
      <c r="Q538" s="26"/>
      <c r="R538" s="27"/>
    </row>
    <row r="539" spans="2:18" x14ac:dyDescent="0.25">
      <c r="B539" s="32"/>
      <c r="C539" s="168"/>
      <c r="D539" s="168"/>
      <c r="E539" s="168"/>
      <c r="F539" s="168"/>
      <c r="G539" s="168"/>
      <c r="H539" s="168"/>
      <c r="I539" s="168"/>
      <c r="J539" s="168"/>
      <c r="K539" s="167"/>
      <c r="L539" s="26"/>
      <c r="M539" s="26"/>
      <c r="N539" s="26"/>
      <c r="O539" s="26"/>
      <c r="P539" s="26"/>
      <c r="Q539" s="26"/>
      <c r="R539" s="27"/>
    </row>
    <row r="540" spans="2:18" ht="16.5" thickBot="1" x14ac:dyDescent="0.3">
      <c r="B540" s="171"/>
      <c r="C540" s="172"/>
      <c r="D540" s="172"/>
      <c r="E540" s="172"/>
      <c r="F540" s="172"/>
      <c r="G540" s="172"/>
      <c r="H540" s="172"/>
      <c r="I540" s="172"/>
      <c r="J540" s="172"/>
      <c r="K540" s="173"/>
      <c r="L540" s="30"/>
      <c r="M540" s="30"/>
      <c r="N540" s="30"/>
      <c r="O540" s="30"/>
      <c r="P540" s="30"/>
      <c r="Q540" s="30"/>
      <c r="R540" s="31"/>
    </row>
    <row r="541" spans="2:18" ht="15" x14ac:dyDescent="0.25">
      <c r="B541" s="131"/>
      <c r="C541" s="131"/>
      <c r="D541" s="131"/>
    </row>
    <row r="542" spans="2:18" ht="16.5" thickBot="1" x14ac:dyDescent="0.3"/>
    <row r="543" spans="2:18" ht="21.75" thickBot="1" x14ac:dyDescent="0.4">
      <c r="B543" s="200" t="s">
        <v>732</v>
      </c>
      <c r="C543" s="35"/>
      <c r="D543" s="36"/>
      <c r="E543" s="22"/>
      <c r="F543" s="22"/>
      <c r="G543" s="22"/>
      <c r="H543" s="22"/>
      <c r="I543" s="22"/>
      <c r="J543" s="22"/>
      <c r="K543" s="22"/>
      <c r="L543" s="22"/>
      <c r="M543" s="22"/>
      <c r="N543" s="22"/>
      <c r="O543" s="22"/>
      <c r="P543" s="22"/>
      <c r="Q543" s="22"/>
      <c r="R543" s="23"/>
    </row>
    <row r="544" spans="2:18" x14ac:dyDescent="0.25">
      <c r="B544" s="44"/>
      <c r="C544" s="48"/>
      <c r="D544" s="25"/>
      <c r="E544" s="26"/>
      <c r="F544" s="26"/>
      <c r="G544" s="26"/>
      <c r="H544" s="26"/>
      <c r="I544" s="26"/>
      <c r="J544" s="26"/>
      <c r="K544" s="26"/>
      <c r="L544" s="26"/>
      <c r="M544" s="26"/>
      <c r="N544" s="26"/>
      <c r="O544" s="26"/>
      <c r="P544" s="26"/>
      <c r="Q544" s="26"/>
      <c r="R544" s="27"/>
    </row>
    <row r="545" spans="2:18" x14ac:dyDescent="0.25">
      <c r="B545" s="44"/>
      <c r="C545" s="48"/>
      <c r="D545" s="25"/>
      <c r="E545" s="26"/>
      <c r="F545" s="26"/>
      <c r="G545" s="26"/>
      <c r="H545" s="26"/>
      <c r="I545" s="26"/>
      <c r="J545" s="26"/>
      <c r="K545" s="26"/>
      <c r="L545" s="26"/>
      <c r="M545" s="26"/>
      <c r="N545" s="26"/>
      <c r="O545" s="26"/>
      <c r="P545" s="26"/>
      <c r="Q545" s="26"/>
      <c r="R545" s="27"/>
    </row>
    <row r="546" spans="2:18" x14ac:dyDescent="0.25">
      <c r="B546" s="32"/>
      <c r="C546" s="168"/>
      <c r="D546" s="168"/>
      <c r="E546" s="168"/>
      <c r="F546" s="168"/>
      <c r="G546" s="168"/>
      <c r="H546" s="168"/>
      <c r="I546" s="168"/>
      <c r="J546" s="168"/>
      <c r="K546" s="167"/>
      <c r="L546" s="26"/>
      <c r="M546" s="26"/>
      <c r="N546" s="26"/>
      <c r="O546" s="26"/>
      <c r="P546" s="26"/>
      <c r="Q546" s="26"/>
      <c r="R546" s="27"/>
    </row>
    <row r="547" spans="2:18" x14ac:dyDescent="0.25">
      <c r="B547" s="32"/>
      <c r="C547" s="168"/>
      <c r="D547" s="168"/>
      <c r="E547" s="168"/>
      <c r="F547" s="168"/>
      <c r="G547" s="168"/>
      <c r="H547" s="168"/>
      <c r="I547" s="168"/>
      <c r="J547" s="168"/>
      <c r="K547" s="167"/>
      <c r="L547" s="26"/>
      <c r="M547" s="26"/>
      <c r="N547" s="26"/>
      <c r="O547" s="26"/>
      <c r="P547" s="26"/>
      <c r="Q547" s="26"/>
      <c r="R547" s="27"/>
    </row>
    <row r="548" spans="2:18" x14ac:dyDescent="0.25">
      <c r="B548" s="32"/>
      <c r="C548" s="168"/>
      <c r="D548" s="168"/>
      <c r="E548" s="168"/>
      <c r="F548" s="168"/>
      <c r="G548" s="168"/>
      <c r="H548" s="168"/>
      <c r="I548" s="168"/>
      <c r="J548" s="168"/>
      <c r="K548" s="167"/>
      <c r="L548" s="26"/>
      <c r="M548" s="26"/>
      <c r="N548" s="26"/>
      <c r="O548" s="26"/>
      <c r="P548" s="26"/>
      <c r="Q548" s="26"/>
      <c r="R548" s="27"/>
    </row>
    <row r="549" spans="2:18" x14ac:dyDescent="0.25">
      <c r="B549" s="32"/>
      <c r="C549" s="168"/>
      <c r="D549" s="168"/>
      <c r="E549" s="168"/>
      <c r="F549" s="168"/>
      <c r="G549" s="168"/>
      <c r="H549" s="168"/>
      <c r="I549" s="168"/>
      <c r="J549" s="168"/>
      <c r="K549" s="167"/>
      <c r="L549" s="26"/>
      <c r="M549" s="26"/>
      <c r="N549" s="26"/>
      <c r="O549" s="26"/>
      <c r="P549" s="26"/>
      <c r="Q549" s="26"/>
      <c r="R549" s="27"/>
    </row>
    <row r="550" spans="2:18" x14ac:dyDescent="0.25">
      <c r="B550" s="32"/>
      <c r="C550" s="168"/>
      <c r="D550" s="168"/>
      <c r="E550" s="168"/>
      <c r="F550" s="168"/>
      <c r="G550" s="168"/>
      <c r="H550" s="168"/>
      <c r="I550" s="168"/>
      <c r="J550" s="168"/>
      <c r="K550" s="167"/>
      <c r="L550" s="26"/>
      <c r="M550" s="26"/>
      <c r="N550" s="26"/>
      <c r="O550" s="26"/>
      <c r="P550" s="26"/>
      <c r="Q550" s="26"/>
      <c r="R550" s="27"/>
    </row>
    <row r="551" spans="2:18" x14ac:dyDescent="0.25">
      <c r="B551" s="32"/>
      <c r="C551" s="168"/>
      <c r="D551" s="168"/>
      <c r="E551" s="168"/>
      <c r="F551" s="168"/>
      <c r="G551" s="168"/>
      <c r="H551" s="168"/>
      <c r="I551" s="168"/>
      <c r="J551" s="168"/>
      <c r="K551" s="167"/>
      <c r="L551" s="26"/>
      <c r="M551" s="26"/>
      <c r="N551" s="26"/>
      <c r="O551" s="26"/>
      <c r="P551" s="26"/>
      <c r="Q551" s="26"/>
      <c r="R551" s="27"/>
    </row>
    <row r="552" spans="2:18" ht="16.5" thickBot="1" x14ac:dyDescent="0.3">
      <c r="B552" s="32"/>
      <c r="C552" s="168"/>
      <c r="D552" s="168"/>
      <c r="E552" s="168"/>
      <c r="F552" s="168"/>
      <c r="G552" s="168"/>
      <c r="H552" s="168"/>
      <c r="I552" s="168"/>
      <c r="J552" s="168"/>
      <c r="K552" s="167"/>
      <c r="L552" s="26"/>
      <c r="M552" s="26"/>
      <c r="N552" s="26"/>
      <c r="O552" s="26"/>
      <c r="P552" s="26"/>
      <c r="Q552" s="26"/>
      <c r="R552" s="27"/>
    </row>
    <row r="553" spans="2:18" ht="19.5" thickBot="1" x14ac:dyDescent="0.35">
      <c r="B553" s="32"/>
      <c r="C553" s="302" t="s">
        <v>8</v>
      </c>
      <c r="D553" s="559" t="s">
        <v>7</v>
      </c>
      <c r="E553" s="318" t="s">
        <v>103</v>
      </c>
      <c r="F553" s="318" t="s">
        <v>104</v>
      </c>
      <c r="G553" s="318" t="s">
        <v>105</v>
      </c>
      <c r="H553" s="318" t="s">
        <v>106</v>
      </c>
      <c r="I553" s="318" t="s">
        <v>108</v>
      </c>
      <c r="J553" s="319" t="s">
        <v>268</v>
      </c>
      <c r="K553" s="26" t="s">
        <v>632</v>
      </c>
      <c r="L553" s="26"/>
      <c r="M553" s="26"/>
      <c r="N553" s="26"/>
      <c r="O553" s="26"/>
      <c r="P553" s="26"/>
      <c r="Q553" s="26"/>
      <c r="R553" s="27"/>
    </row>
    <row r="554" spans="2:18" x14ac:dyDescent="0.25">
      <c r="B554" s="32"/>
      <c r="C554" s="272" t="s">
        <v>458</v>
      </c>
      <c r="D554" s="560">
        <f>IF(AND(ISNUMBER(D313),ISNUMBER(D342)),D313-D342,"SIN DATOS")</f>
        <v>20481.576503683158</v>
      </c>
      <c r="E554" s="335">
        <f>IF(AND(ISNUMBER(E313),ISNUMBER(E342)),E313-E342,"SIN DATOS")</f>
        <v>22529.658060635778</v>
      </c>
      <c r="F554" s="335">
        <f>IF(AND(ISNUMBER(F313),ISNUMBER(F342)),F313-F342,"SIN DATOS")</f>
        <v>24103.978310134626</v>
      </c>
      <c r="G554" s="335">
        <f>IF(AND(ISNUMBER(G313),ISNUMBER(G342)),G313-G342,"SIN DATOS")</f>
        <v>27819.39436718461</v>
      </c>
      <c r="H554" s="335">
        <f>IF(AND(ISNUMBER(H313),ISNUMBER(H342)),H313-H342,"SIN DATOS")</f>
        <v>36538.525001662725</v>
      </c>
      <c r="I554" s="337">
        <f>IF(AND(ISNUMBER(D554),ISNUMBER(E554),ISNUMBER(F554),ISNUMBER(G554),ISNUMBER(H554)),TREND(D554:H554,D$304:H$304,I$304),"SIN DATOS")</f>
        <v>37515.716439412572</v>
      </c>
      <c r="J554" s="333"/>
      <c r="K554" s="167"/>
      <c r="L554" s="26"/>
      <c r="M554" s="26"/>
      <c r="N554" s="26"/>
      <c r="O554" s="26"/>
      <c r="P554" s="26"/>
      <c r="Q554" s="26"/>
      <c r="R554" s="27"/>
    </row>
    <row r="555" spans="2:18" ht="16.5" thickBot="1" x14ac:dyDescent="0.3">
      <c r="B555" s="32"/>
      <c r="C555" s="186" t="s">
        <v>118</v>
      </c>
      <c r="D555" s="561">
        <f>Sector!F94-Sector!F126</f>
        <v>-5055100</v>
      </c>
      <c r="E555" s="336">
        <f>Sector!G94-Sector!G126</f>
        <v>-5075877</v>
      </c>
      <c r="F555" s="336">
        <f>Sector!H94-Sector!H126</f>
        <v>-5774177</v>
      </c>
      <c r="G555" s="336">
        <f>Sector!I94-Sector!I126</f>
        <v>-5939155</v>
      </c>
      <c r="H555" s="336">
        <f>Sector!J94-Sector!J126</f>
        <v>-2945093</v>
      </c>
      <c r="I555" s="337">
        <f>IF(AND(ISNUMBER(D555),ISNUMBER(E555),ISNUMBER(F555),ISNUMBER(G555),ISNUMBER(H555)),TREND(D555:H555,D$304:H$304,I$304),"SIN DATOS")</f>
        <v>-3950859.6000000006</v>
      </c>
      <c r="J555" s="334"/>
      <c r="K555" s="167"/>
      <c r="L555" s="26"/>
      <c r="M555" s="26"/>
      <c r="N555" s="26"/>
      <c r="O555" s="26"/>
      <c r="P555" s="26"/>
      <c r="Q555" s="26"/>
      <c r="R555" s="27"/>
    </row>
    <row r="556" spans="2:18" thickBot="1" x14ac:dyDescent="0.3">
      <c r="B556" s="32"/>
      <c r="C556" s="209" t="s">
        <v>457</v>
      </c>
      <c r="D556" s="562" t="str">
        <f t="shared" ref="D556:I556" si="62">IF(D554&gt;=D555,IF(D554=D555,"═","▲"),"▼")</f>
        <v>▲</v>
      </c>
      <c r="E556" s="287" t="str">
        <f t="shared" si="62"/>
        <v>▲</v>
      </c>
      <c r="F556" s="287" t="str">
        <f t="shared" si="62"/>
        <v>▲</v>
      </c>
      <c r="G556" s="287" t="str">
        <f t="shared" si="62"/>
        <v>▲</v>
      </c>
      <c r="H556" s="287" t="str">
        <f t="shared" si="62"/>
        <v>▲</v>
      </c>
      <c r="I556" s="288" t="str">
        <f t="shared" si="62"/>
        <v>▲</v>
      </c>
      <c r="J556" s="26"/>
      <c r="K556" s="167"/>
      <c r="L556" s="26"/>
      <c r="M556" s="26"/>
      <c r="N556" s="26"/>
      <c r="O556" s="26"/>
      <c r="P556" s="26"/>
      <c r="Q556" s="26"/>
      <c r="R556" s="27"/>
    </row>
    <row r="557" spans="2:18" ht="15" x14ac:dyDescent="0.25">
      <c r="B557" s="32"/>
      <c r="C557" s="24"/>
      <c r="D557" s="24"/>
      <c r="E557" s="24"/>
      <c r="F557" s="24"/>
      <c r="G557" s="24"/>
      <c r="H557" s="24"/>
      <c r="I557" s="24"/>
      <c r="J557" s="24"/>
      <c r="K557" s="167"/>
      <c r="L557" s="26"/>
      <c r="M557" s="26"/>
      <c r="N557" s="26"/>
      <c r="O557" s="26"/>
      <c r="P557" s="26"/>
      <c r="Q557" s="26"/>
      <c r="R557" s="27"/>
    </row>
    <row r="558" spans="2:18" ht="15" x14ac:dyDescent="0.25">
      <c r="B558" s="32"/>
      <c r="C558" s="24"/>
      <c r="D558" s="24"/>
      <c r="E558" s="24"/>
      <c r="F558" s="24"/>
      <c r="G558" s="24"/>
      <c r="H558" s="24"/>
      <c r="I558" s="24"/>
      <c r="J558" s="24"/>
      <c r="K558" s="167"/>
      <c r="L558" s="26"/>
      <c r="M558" s="26"/>
      <c r="N558" s="26"/>
      <c r="O558" s="26"/>
      <c r="P558" s="26"/>
      <c r="Q558" s="26"/>
      <c r="R558" s="27"/>
    </row>
    <row r="559" spans="2:18" x14ac:dyDescent="0.25">
      <c r="B559" s="32"/>
      <c r="C559" s="24"/>
      <c r="D559" s="25"/>
      <c r="E559" s="26"/>
      <c r="F559" s="26"/>
      <c r="G559" s="26"/>
      <c r="H559" s="26"/>
      <c r="I559" s="26"/>
      <c r="J559" s="26"/>
      <c r="K559" s="26"/>
      <c r="L559" s="26"/>
      <c r="M559" s="26"/>
      <c r="N559" s="26"/>
      <c r="O559" s="26"/>
      <c r="P559" s="26"/>
      <c r="Q559" s="26"/>
      <c r="R559" s="27"/>
    </row>
    <row r="560" spans="2:18" x14ac:dyDescent="0.25">
      <c r="B560" s="32"/>
      <c r="C560" s="24"/>
      <c r="D560" s="25"/>
      <c r="E560" s="26"/>
      <c r="F560" s="26"/>
      <c r="G560" s="26"/>
      <c r="H560" s="26"/>
      <c r="I560" s="26"/>
      <c r="J560" s="26"/>
      <c r="K560" s="26"/>
      <c r="L560" s="26"/>
      <c r="M560" s="26"/>
      <c r="N560" s="26"/>
      <c r="O560" s="26"/>
      <c r="P560" s="26"/>
      <c r="Q560" s="26"/>
      <c r="R560" s="27"/>
    </row>
    <row r="561" spans="2:18" x14ac:dyDescent="0.25">
      <c r="B561" s="32"/>
      <c r="C561" s="24"/>
      <c r="D561" s="25"/>
      <c r="E561" s="26"/>
      <c r="F561" s="26"/>
      <c r="G561" s="26"/>
      <c r="H561" s="26"/>
      <c r="I561" s="26"/>
      <c r="J561" s="26"/>
      <c r="K561" s="26"/>
      <c r="L561" s="26"/>
      <c r="M561" s="26"/>
      <c r="N561" s="26"/>
      <c r="O561" s="26"/>
      <c r="P561" s="26"/>
      <c r="Q561" s="26"/>
      <c r="R561" s="27"/>
    </row>
    <row r="562" spans="2:18" x14ac:dyDescent="0.25">
      <c r="B562" s="32"/>
      <c r="C562" s="24"/>
      <c r="D562" s="25"/>
      <c r="E562" s="26"/>
      <c r="F562" s="26"/>
      <c r="G562" s="26"/>
      <c r="H562" s="26"/>
      <c r="I562" s="26"/>
      <c r="J562" s="26"/>
      <c r="K562" s="26"/>
      <c r="L562" s="26"/>
      <c r="M562" s="26"/>
      <c r="N562" s="26"/>
      <c r="O562" s="26"/>
      <c r="P562" s="26"/>
      <c r="Q562" s="26"/>
      <c r="R562" s="27"/>
    </row>
    <row r="563" spans="2:18" x14ac:dyDescent="0.25">
      <c r="B563" s="32"/>
      <c r="C563" s="24"/>
      <c r="D563" s="25"/>
      <c r="E563" s="26"/>
      <c r="F563" s="26"/>
      <c r="G563" s="26"/>
      <c r="H563" s="26"/>
      <c r="I563" s="26"/>
      <c r="J563" s="26"/>
      <c r="K563" s="26"/>
      <c r="L563" s="26"/>
      <c r="M563" s="26"/>
      <c r="N563" s="26"/>
      <c r="O563" s="26"/>
      <c r="P563" s="26"/>
      <c r="Q563" s="26"/>
      <c r="R563" s="27"/>
    </row>
    <row r="564" spans="2:18" x14ac:dyDescent="0.25">
      <c r="B564" s="32"/>
      <c r="C564" s="24"/>
      <c r="D564" s="25"/>
      <c r="E564" s="26"/>
      <c r="F564" s="26"/>
      <c r="G564" s="26"/>
      <c r="H564" s="26"/>
      <c r="I564" s="26"/>
      <c r="J564" s="26"/>
      <c r="K564" s="26"/>
      <c r="L564" s="26"/>
      <c r="M564" s="26"/>
      <c r="N564" s="26"/>
      <c r="O564" s="26"/>
      <c r="P564" s="26"/>
      <c r="Q564" s="26"/>
      <c r="R564" s="27"/>
    </row>
    <row r="565" spans="2:18" x14ac:dyDescent="0.25">
      <c r="B565" s="32"/>
      <c r="C565" s="24"/>
      <c r="D565" s="25"/>
      <c r="E565" s="26"/>
      <c r="F565" s="26"/>
      <c r="G565" s="26"/>
      <c r="H565" s="26"/>
      <c r="I565" s="26"/>
      <c r="J565" s="26"/>
      <c r="K565" s="26"/>
      <c r="L565" s="26"/>
      <c r="M565" s="26"/>
      <c r="N565" s="26"/>
      <c r="O565" s="26"/>
      <c r="P565" s="26"/>
      <c r="Q565" s="26"/>
      <c r="R565" s="27"/>
    </row>
    <row r="566" spans="2:18" x14ac:dyDescent="0.25">
      <c r="B566" s="32"/>
      <c r="C566" s="24"/>
      <c r="D566" s="25"/>
      <c r="E566" s="26"/>
      <c r="F566" s="26"/>
      <c r="G566" s="26"/>
      <c r="H566" s="26"/>
      <c r="I566" s="26"/>
      <c r="J566" s="26"/>
      <c r="K566" s="26"/>
      <c r="L566" s="26"/>
      <c r="M566" s="26"/>
      <c r="N566" s="26"/>
      <c r="O566" s="26"/>
      <c r="P566" s="26"/>
      <c r="Q566" s="26"/>
      <c r="R566" s="27"/>
    </row>
    <row r="567" spans="2:18" x14ac:dyDescent="0.25">
      <c r="B567" s="32"/>
      <c r="C567" s="24"/>
      <c r="D567" s="25"/>
      <c r="E567" s="26"/>
      <c r="F567" s="26"/>
      <c r="G567" s="26"/>
      <c r="H567" s="26"/>
      <c r="I567" s="26"/>
      <c r="J567" s="26"/>
      <c r="K567" s="26"/>
      <c r="L567" s="26"/>
      <c r="M567" s="26"/>
      <c r="N567" s="26"/>
      <c r="O567" s="26"/>
      <c r="P567" s="26"/>
      <c r="Q567" s="26"/>
      <c r="R567" s="27"/>
    </row>
    <row r="568" spans="2:18" x14ac:dyDescent="0.25">
      <c r="B568" s="32"/>
      <c r="C568" s="24"/>
      <c r="D568" s="25"/>
      <c r="E568" s="26"/>
      <c r="F568" s="26"/>
      <c r="G568" s="26"/>
      <c r="H568" s="26"/>
      <c r="I568" s="26"/>
      <c r="J568" s="26"/>
      <c r="K568" s="26"/>
      <c r="L568" s="26"/>
      <c r="M568" s="26"/>
      <c r="N568" s="26"/>
      <c r="O568" s="26"/>
      <c r="P568" s="26"/>
      <c r="Q568" s="26"/>
      <c r="R568" s="27"/>
    </row>
    <row r="569" spans="2:18" x14ac:dyDescent="0.25">
      <c r="B569" s="32"/>
      <c r="C569" s="24"/>
      <c r="D569" s="25"/>
      <c r="E569" s="26"/>
      <c r="F569" s="26"/>
      <c r="G569" s="26"/>
      <c r="H569" s="26"/>
      <c r="I569" s="26"/>
      <c r="J569" s="26"/>
      <c r="K569" s="26"/>
      <c r="L569" s="26"/>
      <c r="M569" s="26"/>
      <c r="N569" s="26"/>
      <c r="O569" s="26"/>
      <c r="P569" s="26"/>
      <c r="Q569" s="26"/>
      <c r="R569" s="27"/>
    </row>
    <row r="570" spans="2:18" x14ac:dyDescent="0.25">
      <c r="B570" s="32"/>
      <c r="C570" s="24"/>
      <c r="D570" s="25"/>
      <c r="E570" s="26"/>
      <c r="F570" s="26"/>
      <c r="G570" s="26"/>
      <c r="H570" s="26"/>
      <c r="I570" s="26"/>
      <c r="J570" s="26"/>
      <c r="K570" s="26"/>
      <c r="L570" s="26"/>
      <c r="M570" s="26"/>
      <c r="N570" s="26"/>
      <c r="O570" s="26"/>
      <c r="P570" s="26"/>
      <c r="Q570" s="26"/>
      <c r="R570" s="27"/>
    </row>
    <row r="571" spans="2:18" x14ac:dyDescent="0.25">
      <c r="B571" s="32"/>
      <c r="C571" s="24"/>
      <c r="D571" s="25"/>
      <c r="E571" s="26"/>
      <c r="F571" s="26"/>
      <c r="G571" s="26"/>
      <c r="H571" s="26"/>
      <c r="I571" s="26"/>
      <c r="J571" s="26"/>
      <c r="K571" s="26"/>
      <c r="L571" s="26"/>
      <c r="M571" s="26"/>
      <c r="N571" s="26"/>
      <c r="O571" s="26"/>
      <c r="P571" s="26"/>
      <c r="Q571" s="26"/>
      <c r="R571" s="27"/>
    </row>
    <row r="572" spans="2:18" x14ac:dyDescent="0.25">
      <c r="B572" s="32"/>
      <c r="C572" s="24"/>
      <c r="D572" s="25"/>
      <c r="E572" s="26"/>
      <c r="F572" s="26"/>
      <c r="G572" s="26"/>
      <c r="H572" s="26"/>
      <c r="I572" s="26"/>
      <c r="J572" s="26"/>
      <c r="K572" s="26"/>
      <c r="L572" s="26"/>
      <c r="M572" s="26"/>
      <c r="N572" s="26"/>
      <c r="O572" s="26"/>
      <c r="P572" s="26"/>
      <c r="Q572" s="26"/>
      <c r="R572" s="27"/>
    </row>
    <row r="573" spans="2:18" x14ac:dyDescent="0.25">
      <c r="B573" s="32"/>
      <c r="C573" s="24"/>
      <c r="D573" s="25"/>
      <c r="E573" s="26"/>
      <c r="F573" s="26"/>
      <c r="G573" s="26"/>
      <c r="H573" s="26"/>
      <c r="I573" s="26"/>
      <c r="J573" s="26"/>
      <c r="K573" s="26"/>
      <c r="L573" s="26"/>
      <c r="M573" s="26"/>
      <c r="N573" s="26"/>
      <c r="O573" s="26"/>
      <c r="P573" s="26"/>
      <c r="Q573" s="26"/>
      <c r="R573" s="27"/>
    </row>
    <row r="574" spans="2:18" x14ac:dyDescent="0.25">
      <c r="B574" s="32"/>
      <c r="C574" s="24"/>
      <c r="D574" s="25"/>
      <c r="E574" s="26"/>
      <c r="F574" s="26"/>
      <c r="G574" s="26"/>
      <c r="H574" s="26"/>
      <c r="I574" s="26"/>
      <c r="J574" s="26"/>
      <c r="K574" s="26"/>
      <c r="L574" s="26"/>
      <c r="M574" s="26"/>
      <c r="N574" s="26"/>
      <c r="O574" s="26"/>
      <c r="P574" s="26"/>
      <c r="Q574" s="26"/>
      <c r="R574" s="27"/>
    </row>
    <row r="575" spans="2:18" x14ac:dyDescent="0.25">
      <c r="B575" s="32"/>
      <c r="C575" s="24"/>
      <c r="D575" s="25"/>
      <c r="E575" s="26"/>
      <c r="F575" s="26"/>
      <c r="G575" s="26"/>
      <c r="H575" s="26"/>
      <c r="I575" s="26"/>
      <c r="J575" s="26"/>
      <c r="K575" s="26"/>
      <c r="L575" s="26"/>
      <c r="M575" s="26"/>
      <c r="N575" s="26"/>
      <c r="O575" s="26"/>
      <c r="P575" s="26"/>
      <c r="Q575" s="26"/>
      <c r="R575" s="27"/>
    </row>
    <row r="576" spans="2:18" x14ac:dyDescent="0.25">
      <c r="B576" s="32"/>
      <c r="C576" s="24"/>
      <c r="D576" s="25"/>
      <c r="E576" s="26"/>
      <c r="F576" s="26"/>
      <c r="G576" s="26"/>
      <c r="H576" s="26"/>
      <c r="I576" s="26"/>
      <c r="J576" s="26"/>
      <c r="K576" s="26"/>
      <c r="L576" s="26"/>
      <c r="M576" s="26"/>
      <c r="N576" s="26"/>
      <c r="O576" s="26"/>
      <c r="P576" s="26"/>
      <c r="Q576" s="26"/>
      <c r="R576" s="27"/>
    </row>
    <row r="577" spans="2:18" x14ac:dyDescent="0.25">
      <c r="B577" s="32"/>
      <c r="C577" s="24"/>
      <c r="D577" s="25"/>
      <c r="E577" s="26"/>
      <c r="F577" s="26"/>
      <c r="G577" s="26"/>
      <c r="H577" s="26"/>
      <c r="I577" s="26"/>
      <c r="J577" s="26"/>
      <c r="K577" s="26"/>
      <c r="L577" s="26"/>
      <c r="M577" s="26"/>
      <c r="N577" s="26"/>
      <c r="O577" s="26"/>
      <c r="P577" s="26"/>
      <c r="Q577" s="26"/>
      <c r="R577" s="27"/>
    </row>
    <row r="578" spans="2:18" x14ac:dyDescent="0.25">
      <c r="B578" s="32"/>
      <c r="C578" s="24"/>
      <c r="D578" s="25"/>
      <c r="E578" s="26"/>
      <c r="F578" s="26"/>
      <c r="G578" s="26"/>
      <c r="H578" s="26"/>
      <c r="I578" s="26"/>
      <c r="J578" s="26"/>
      <c r="K578" s="26"/>
      <c r="L578" s="26"/>
      <c r="M578" s="26"/>
      <c r="N578" s="26"/>
      <c r="O578" s="26"/>
      <c r="P578" s="26"/>
      <c r="Q578" s="26"/>
      <c r="R578" s="27"/>
    </row>
    <row r="579" spans="2:18" x14ac:dyDescent="0.25">
      <c r="B579" s="32"/>
      <c r="C579" s="24"/>
      <c r="D579" s="25"/>
      <c r="E579" s="26"/>
      <c r="F579" s="26"/>
      <c r="G579" s="26"/>
      <c r="H579" s="26"/>
      <c r="I579" s="26"/>
      <c r="J579" s="26"/>
      <c r="K579" s="26"/>
      <c r="L579" s="26"/>
      <c r="M579" s="26"/>
      <c r="N579" s="26"/>
      <c r="O579" s="26"/>
      <c r="P579" s="26"/>
      <c r="Q579" s="26"/>
      <c r="R579" s="27"/>
    </row>
    <row r="580" spans="2:18" x14ac:dyDescent="0.25">
      <c r="B580" s="32"/>
      <c r="C580" s="24"/>
      <c r="D580" s="25"/>
      <c r="E580" s="26"/>
      <c r="F580" s="26"/>
      <c r="G580" s="26"/>
      <c r="H580" s="26"/>
      <c r="I580" s="26"/>
      <c r="J580" s="26"/>
      <c r="K580" s="26"/>
      <c r="L580" s="26"/>
      <c r="M580" s="26"/>
      <c r="N580" s="26"/>
      <c r="O580" s="26"/>
      <c r="P580" s="26"/>
      <c r="Q580" s="26"/>
      <c r="R580" s="27"/>
    </row>
    <row r="581" spans="2:18" x14ac:dyDescent="0.25">
      <c r="B581" s="32"/>
      <c r="C581" s="24"/>
      <c r="D581" s="25"/>
      <c r="E581" s="26"/>
      <c r="F581" s="26"/>
      <c r="G581" s="26"/>
      <c r="H581" s="26"/>
      <c r="I581" s="26"/>
      <c r="J581" s="26"/>
      <c r="K581" s="26"/>
      <c r="L581" s="26"/>
      <c r="M581" s="26"/>
      <c r="N581" s="26"/>
      <c r="O581" s="26"/>
      <c r="P581" s="26"/>
      <c r="Q581" s="26"/>
      <c r="R581" s="27"/>
    </row>
    <row r="582" spans="2:18" x14ac:dyDescent="0.25">
      <c r="B582" s="32"/>
      <c r="C582" s="24"/>
      <c r="D582" s="25"/>
      <c r="E582" s="26"/>
      <c r="F582" s="26"/>
      <c r="G582" s="26"/>
      <c r="H582" s="26"/>
      <c r="I582" s="26"/>
      <c r="J582" s="26"/>
      <c r="K582" s="26"/>
      <c r="L582" s="26"/>
      <c r="M582" s="26"/>
      <c r="N582" s="26"/>
      <c r="O582" s="26"/>
      <c r="P582" s="26"/>
      <c r="Q582" s="26"/>
      <c r="R582" s="27"/>
    </row>
    <row r="583" spans="2:18" x14ac:dyDescent="0.25">
      <c r="B583" s="32"/>
      <c r="C583" s="24"/>
      <c r="D583" s="25"/>
      <c r="E583" s="26"/>
      <c r="F583" s="26"/>
      <c r="G583" s="26"/>
      <c r="H583" s="26"/>
      <c r="I583" s="26"/>
      <c r="J583" s="26"/>
      <c r="K583" s="26"/>
      <c r="L583" s="26"/>
      <c r="M583" s="26"/>
      <c r="N583" s="26"/>
      <c r="O583" s="26"/>
      <c r="P583" s="26"/>
      <c r="Q583" s="26"/>
      <c r="R583" s="27"/>
    </row>
    <row r="584" spans="2:18" x14ac:dyDescent="0.25">
      <c r="B584" s="32"/>
      <c r="C584" s="24"/>
      <c r="D584" s="25"/>
      <c r="E584" s="26"/>
      <c r="F584" s="26"/>
      <c r="G584" s="26"/>
      <c r="H584" s="26"/>
      <c r="I584" s="26"/>
      <c r="J584" s="26"/>
      <c r="K584" s="26"/>
      <c r="L584" s="26"/>
      <c r="M584" s="26"/>
      <c r="N584" s="26"/>
      <c r="O584" s="26"/>
      <c r="P584" s="26"/>
      <c r="Q584" s="26"/>
      <c r="R584" s="27"/>
    </row>
    <row r="585" spans="2:18" ht="16.5" thickBot="1" x14ac:dyDescent="0.3">
      <c r="B585" s="32"/>
      <c r="C585" s="24"/>
      <c r="D585" s="25"/>
      <c r="E585" s="26"/>
      <c r="F585" s="26"/>
      <c r="G585" s="26"/>
      <c r="H585" s="26"/>
      <c r="I585" s="26"/>
      <c r="J585" s="26"/>
      <c r="K585" s="26"/>
      <c r="L585" s="26"/>
      <c r="M585" s="26"/>
      <c r="N585" s="26"/>
      <c r="O585" s="26"/>
      <c r="P585" s="26"/>
      <c r="Q585" s="26"/>
      <c r="R585" s="27"/>
    </row>
    <row r="586" spans="2:18" ht="19.5" thickBot="1" x14ac:dyDescent="0.35">
      <c r="B586" s="32"/>
      <c r="C586" s="302" t="s">
        <v>14</v>
      </c>
      <c r="D586" s="317" t="s">
        <v>7</v>
      </c>
      <c r="E586" s="318" t="s">
        <v>103</v>
      </c>
      <c r="F586" s="318" t="s">
        <v>104</v>
      </c>
      <c r="G586" s="318" t="s">
        <v>105</v>
      </c>
      <c r="H586" s="318" t="s">
        <v>106</v>
      </c>
      <c r="I586" s="318" t="s">
        <v>108</v>
      </c>
      <c r="J586" s="319" t="s">
        <v>268</v>
      </c>
      <c r="K586" s="26" t="s">
        <v>72</v>
      </c>
      <c r="L586" s="26"/>
      <c r="M586" s="26"/>
      <c r="N586" s="26"/>
      <c r="O586" s="26"/>
      <c r="P586" s="26"/>
      <c r="Q586" s="26"/>
      <c r="R586" s="27"/>
    </row>
    <row r="587" spans="2:18" x14ac:dyDescent="0.25">
      <c r="B587" s="32"/>
      <c r="C587" s="272" t="s">
        <v>458</v>
      </c>
      <c r="D587" s="194">
        <f>IF(AND(ISNUMBER(D313),ISNUMBER(D342)),D313/D342,"SIN DATOS")</f>
        <v>21.568149106712109</v>
      </c>
      <c r="E587" s="195">
        <f>IF(AND(ISNUMBER(E313),ISNUMBER(E342)),E313/E342,"SIN DATOS")</f>
        <v>22.310502441977718</v>
      </c>
      <c r="F587" s="195">
        <f>IF(AND(ISNUMBER(F313),ISNUMBER(F342)),F313/F342,"SIN DATOS")</f>
        <v>22.475094110274817</v>
      </c>
      <c r="G587" s="195">
        <f>IF(AND(ISNUMBER(G313),ISNUMBER(G342)),G313/G342,"SIN DATOS")</f>
        <v>24.345397760343285</v>
      </c>
      <c r="H587" s="195" t="e">
        <f>IF(AND(ISNUMBER(H313),ISNUMBER(H342)),H313/H342,"SIN DATOS")</f>
        <v>#DIV/0!</v>
      </c>
      <c r="I587" s="198" t="str">
        <f>IF(AND(ISNUMBER(D587),ISNUMBER(E587),ISNUMBER(F587),ISNUMBER(G587),ISNUMBER(H587)),TREND(D587:H587,D$304:H$304,I$304),"SIN DATOS")</f>
        <v>SIN DATOS</v>
      </c>
      <c r="J587" s="177"/>
      <c r="K587" s="167"/>
      <c r="L587" s="26"/>
      <c r="M587" s="26"/>
      <c r="N587" s="26"/>
      <c r="O587" s="26"/>
      <c r="P587" s="26"/>
      <c r="Q587" s="26"/>
      <c r="R587" s="27"/>
    </row>
    <row r="588" spans="2:18" ht="16.5" thickBot="1" x14ac:dyDescent="0.3">
      <c r="B588" s="32"/>
      <c r="C588" s="186" t="s">
        <v>118</v>
      </c>
      <c r="D588" s="196">
        <f>Sector!F94/Sector!F126</f>
        <v>0.7560244715886586</v>
      </c>
      <c r="E588" s="197">
        <f>Sector!G94/Sector!G126</f>
        <v>0.77318436183565509</v>
      </c>
      <c r="F588" s="197">
        <f>Sector!H94/Sector!H126</f>
        <v>0.75373560630021741</v>
      </c>
      <c r="G588" s="197">
        <f>Sector!I94/Sector!I126</f>
        <v>0.76035055614247982</v>
      </c>
      <c r="H588" s="197">
        <f>Sector!J94/Sector!J126</f>
        <v>0.85302890134064346</v>
      </c>
      <c r="I588" s="199">
        <f>IF(AND(ISNUMBER(D588),ISNUMBER(E588),ISNUMBER(F588),ISNUMBER(G588),ISNUMBER(H588)),TREND(D588:H588,D$304:H$304,I$304),"SIN DATOS")</f>
        <v>0.83361729558476927</v>
      </c>
      <c r="J588" s="176"/>
      <c r="K588" s="167"/>
      <c r="L588" s="26"/>
      <c r="M588" s="26"/>
      <c r="N588" s="26"/>
      <c r="O588" s="26"/>
      <c r="P588" s="26"/>
      <c r="Q588" s="26"/>
      <c r="R588" s="27"/>
    </row>
    <row r="589" spans="2:18" thickBot="1" x14ac:dyDescent="0.3">
      <c r="B589" s="32"/>
      <c r="C589" s="178" t="s">
        <v>457</v>
      </c>
      <c r="D589" s="179" t="str">
        <f t="shared" ref="D589:I589" si="63">IF(D587&gt;=D588,IF(D587=D588,"═","▲"),"▼")</f>
        <v>▲</v>
      </c>
      <c r="E589" s="180" t="str">
        <f t="shared" si="63"/>
        <v>▲</v>
      </c>
      <c r="F589" s="180" t="str">
        <f t="shared" si="63"/>
        <v>▲</v>
      </c>
      <c r="G589" s="180" t="str">
        <f t="shared" si="63"/>
        <v>▲</v>
      </c>
      <c r="H589" s="180" t="e">
        <f t="shared" si="63"/>
        <v>#DIV/0!</v>
      </c>
      <c r="I589" s="181" t="str">
        <f t="shared" si="63"/>
        <v>▲</v>
      </c>
      <c r="J589" s="26"/>
      <c r="K589" s="167"/>
      <c r="L589" s="26"/>
      <c r="M589" s="26"/>
      <c r="N589" s="26"/>
      <c r="O589" s="26"/>
      <c r="P589" s="26"/>
      <c r="Q589" s="26"/>
      <c r="R589" s="27"/>
    </row>
    <row r="590" spans="2:18" x14ac:dyDescent="0.25">
      <c r="B590" s="32"/>
      <c r="C590" s="24"/>
      <c r="D590" s="25"/>
      <c r="E590" s="26"/>
      <c r="F590" s="26"/>
      <c r="G590" s="26"/>
      <c r="H590" s="26"/>
      <c r="I590" s="26"/>
      <c r="J590" s="26"/>
      <c r="K590" s="26"/>
      <c r="L590" s="26"/>
      <c r="M590" s="26"/>
      <c r="N590" s="26"/>
      <c r="O590" s="26"/>
      <c r="P590" s="26"/>
      <c r="Q590" s="26"/>
      <c r="R590" s="27"/>
    </row>
    <row r="591" spans="2:18" x14ac:dyDescent="0.25">
      <c r="B591" s="32"/>
      <c r="C591" s="24"/>
      <c r="D591" s="25"/>
      <c r="E591" s="26"/>
      <c r="F591" s="26"/>
      <c r="G591" s="26"/>
      <c r="H591" s="26"/>
      <c r="I591" s="26"/>
      <c r="J591" s="26"/>
      <c r="K591" s="26"/>
      <c r="L591" s="26"/>
      <c r="M591" s="26"/>
      <c r="N591" s="26"/>
      <c r="O591" s="26"/>
      <c r="P591" s="26"/>
      <c r="Q591" s="26"/>
      <c r="R591" s="27"/>
    </row>
    <row r="592" spans="2:18" x14ac:dyDescent="0.25">
      <c r="B592" s="32"/>
      <c r="C592" s="24"/>
      <c r="D592" s="25"/>
      <c r="E592" s="26"/>
      <c r="F592" s="26"/>
      <c r="G592" s="26"/>
      <c r="H592" s="26"/>
      <c r="I592" s="26"/>
      <c r="J592" s="26"/>
      <c r="K592" s="26"/>
      <c r="L592" s="26"/>
      <c r="M592" s="26"/>
      <c r="N592" s="26"/>
      <c r="O592" s="26"/>
      <c r="P592" s="26"/>
      <c r="Q592" s="26"/>
      <c r="R592" s="27"/>
    </row>
    <row r="593" spans="2:18" x14ac:dyDescent="0.25">
      <c r="B593" s="32"/>
      <c r="C593" s="24"/>
      <c r="D593" s="25"/>
      <c r="E593" s="26"/>
      <c r="F593" s="26"/>
      <c r="G593" s="26"/>
      <c r="H593" s="26"/>
      <c r="I593" s="26"/>
      <c r="J593" s="26"/>
      <c r="K593" s="26"/>
      <c r="L593" s="26"/>
      <c r="M593" s="26"/>
      <c r="N593" s="26"/>
      <c r="O593" s="26"/>
      <c r="P593" s="26"/>
      <c r="Q593" s="26"/>
      <c r="R593" s="27"/>
    </row>
    <row r="594" spans="2:18" x14ac:dyDescent="0.25">
      <c r="B594" s="32"/>
      <c r="C594" s="24"/>
      <c r="D594" s="25"/>
      <c r="E594" s="26"/>
      <c r="F594" s="26"/>
      <c r="G594" s="26"/>
      <c r="H594" s="26"/>
      <c r="I594" s="26"/>
      <c r="J594" s="26"/>
      <c r="K594" s="26"/>
      <c r="L594" s="26"/>
      <c r="M594" s="26"/>
      <c r="N594" s="26"/>
      <c r="O594" s="26"/>
      <c r="P594" s="26"/>
      <c r="Q594" s="26"/>
      <c r="R594" s="27"/>
    </row>
    <row r="595" spans="2:18" x14ac:dyDescent="0.25">
      <c r="B595" s="32"/>
      <c r="C595" s="24"/>
      <c r="D595" s="25"/>
      <c r="E595" s="26"/>
      <c r="F595" s="26"/>
      <c r="G595" s="26"/>
      <c r="H595" s="26"/>
      <c r="I595" s="26"/>
      <c r="J595" s="26"/>
      <c r="K595" s="26"/>
      <c r="L595" s="26"/>
      <c r="M595" s="26"/>
      <c r="N595" s="26"/>
      <c r="O595" s="26"/>
      <c r="P595" s="26"/>
      <c r="Q595" s="26"/>
      <c r="R595" s="27"/>
    </row>
    <row r="596" spans="2:18" x14ac:dyDescent="0.25">
      <c r="B596" s="32"/>
      <c r="C596" s="24"/>
      <c r="D596" s="25"/>
      <c r="E596" s="26"/>
      <c r="F596" s="26"/>
      <c r="G596" s="26"/>
      <c r="H596" s="26"/>
      <c r="I596" s="26"/>
      <c r="J596" s="26"/>
      <c r="K596" s="26"/>
      <c r="L596" s="26"/>
      <c r="M596" s="26"/>
      <c r="N596" s="26"/>
      <c r="O596" s="26"/>
      <c r="P596" s="26"/>
      <c r="Q596" s="26"/>
      <c r="R596" s="27"/>
    </row>
    <row r="597" spans="2:18" x14ac:dyDescent="0.25">
      <c r="B597" s="32"/>
      <c r="C597" s="24"/>
      <c r="D597" s="25"/>
      <c r="E597" s="26"/>
      <c r="F597" s="26"/>
      <c r="G597" s="26"/>
      <c r="H597" s="26"/>
      <c r="I597" s="26"/>
      <c r="J597" s="26"/>
      <c r="K597" s="26"/>
      <c r="L597" s="26"/>
      <c r="M597" s="26"/>
      <c r="N597" s="26"/>
      <c r="O597" s="26"/>
      <c r="P597" s="26"/>
      <c r="Q597" s="26"/>
      <c r="R597" s="27"/>
    </row>
    <row r="598" spans="2:18" x14ac:dyDescent="0.25">
      <c r="B598" s="32"/>
      <c r="C598" s="24"/>
      <c r="D598" s="25"/>
      <c r="E598" s="26"/>
      <c r="F598" s="26"/>
      <c r="G598" s="26"/>
      <c r="H598" s="26"/>
      <c r="I598" s="26"/>
      <c r="J598" s="26"/>
      <c r="K598" s="26"/>
      <c r="L598" s="26"/>
      <c r="M598" s="26"/>
      <c r="N598" s="26"/>
      <c r="O598" s="26"/>
      <c r="P598" s="26"/>
      <c r="Q598" s="26"/>
      <c r="R598" s="27"/>
    </row>
    <row r="599" spans="2:18" x14ac:dyDescent="0.25">
      <c r="B599" s="32"/>
      <c r="C599" s="24"/>
      <c r="D599" s="25"/>
      <c r="E599" s="26"/>
      <c r="F599" s="26"/>
      <c r="G599" s="26"/>
      <c r="H599" s="26"/>
      <c r="I599" s="26"/>
      <c r="J599" s="26"/>
      <c r="K599" s="26"/>
      <c r="L599" s="26"/>
      <c r="M599" s="26"/>
      <c r="N599" s="26"/>
      <c r="O599" s="26"/>
      <c r="P599" s="26"/>
      <c r="Q599" s="26"/>
      <c r="R599" s="27"/>
    </row>
    <row r="600" spans="2:18" x14ac:dyDescent="0.25">
      <c r="B600" s="32"/>
      <c r="C600" s="24"/>
      <c r="D600" s="25"/>
      <c r="E600" s="26"/>
      <c r="F600" s="26"/>
      <c r="G600" s="26"/>
      <c r="H600" s="26"/>
      <c r="I600" s="26"/>
      <c r="J600" s="26"/>
      <c r="K600" s="26"/>
      <c r="L600" s="26"/>
      <c r="M600" s="26"/>
      <c r="N600" s="26"/>
      <c r="O600" s="26"/>
      <c r="P600" s="26"/>
      <c r="Q600" s="26"/>
      <c r="R600" s="27"/>
    </row>
    <row r="601" spans="2:18" x14ac:dyDescent="0.25">
      <c r="B601" s="32"/>
      <c r="C601" s="24"/>
      <c r="D601" s="25"/>
      <c r="E601" s="26"/>
      <c r="F601" s="26"/>
      <c r="G601" s="26"/>
      <c r="H601" s="26"/>
      <c r="I601" s="26"/>
      <c r="J601" s="26"/>
      <c r="K601" s="26"/>
      <c r="L601" s="26"/>
      <c r="M601" s="26"/>
      <c r="N601" s="26"/>
      <c r="O601" s="26"/>
      <c r="P601" s="26"/>
      <c r="Q601" s="26"/>
      <c r="R601" s="27"/>
    </row>
    <row r="602" spans="2:18" x14ac:dyDescent="0.25">
      <c r="B602" s="32"/>
      <c r="C602" s="24"/>
      <c r="D602" s="25"/>
      <c r="E602" s="26"/>
      <c r="F602" s="26"/>
      <c r="G602" s="26"/>
      <c r="H602" s="26"/>
      <c r="I602" s="26"/>
      <c r="J602" s="26"/>
      <c r="K602" s="26"/>
      <c r="L602" s="26"/>
      <c r="M602" s="26"/>
      <c r="N602" s="26"/>
      <c r="O602" s="26"/>
      <c r="P602" s="26"/>
      <c r="Q602" s="26"/>
      <c r="R602" s="27"/>
    </row>
    <row r="603" spans="2:18" s="65" customFormat="1" ht="16.5" thickBot="1" x14ac:dyDescent="0.3">
      <c r="B603" s="69"/>
      <c r="C603" s="123"/>
      <c r="D603" s="72"/>
      <c r="E603" s="72"/>
      <c r="F603" s="72"/>
      <c r="G603" s="142"/>
      <c r="H603" s="72"/>
      <c r="I603" s="72"/>
      <c r="J603" s="72"/>
      <c r="K603" s="72"/>
      <c r="L603" s="72"/>
      <c r="M603" s="72"/>
      <c r="N603" s="72"/>
      <c r="O603" s="72"/>
      <c r="P603" s="72"/>
      <c r="Q603" s="72"/>
      <c r="R603" s="79"/>
    </row>
    <row r="604" spans="2:18" ht="16.5" thickBot="1" x14ac:dyDescent="0.3"/>
    <row r="605" spans="2:18" ht="21.75" thickBot="1" x14ac:dyDescent="0.4">
      <c r="B605" s="200" t="s">
        <v>463</v>
      </c>
      <c r="C605" s="20"/>
      <c r="D605" s="36"/>
      <c r="E605" s="22"/>
      <c r="F605" s="22"/>
      <c r="G605" s="22"/>
      <c r="H605" s="22"/>
      <c r="I605" s="22"/>
      <c r="J605" s="22"/>
      <c r="K605" s="22"/>
      <c r="L605" s="22"/>
      <c r="M605" s="22"/>
      <c r="N605" s="22"/>
      <c r="O605" s="22"/>
      <c r="P605" s="22"/>
      <c r="Q605" s="22"/>
      <c r="R605" s="23"/>
    </row>
    <row r="606" spans="2:18" x14ac:dyDescent="0.25">
      <c r="B606" s="32"/>
      <c r="C606" s="24"/>
      <c r="D606" s="25"/>
      <c r="E606" s="26"/>
      <c r="F606" s="26"/>
      <c r="G606" s="26"/>
      <c r="H606" s="26"/>
      <c r="I606" s="26"/>
      <c r="J606" s="26"/>
      <c r="K606" s="26"/>
      <c r="L606" s="26"/>
      <c r="M606" s="26"/>
      <c r="N606" s="26"/>
      <c r="O606" s="26"/>
      <c r="P606" s="26"/>
      <c r="Q606" s="26"/>
      <c r="R606" s="27"/>
    </row>
    <row r="607" spans="2:18" x14ac:dyDescent="0.25">
      <c r="B607" s="32"/>
      <c r="C607" s="24"/>
      <c r="D607" s="25"/>
      <c r="E607" s="26"/>
      <c r="F607" s="26"/>
      <c r="G607" s="26"/>
      <c r="H607" s="26"/>
      <c r="I607" s="26"/>
      <c r="J607" s="26"/>
      <c r="K607" s="26"/>
      <c r="L607" s="26"/>
      <c r="M607" s="26"/>
      <c r="N607" s="26"/>
      <c r="O607" s="26"/>
      <c r="P607" s="26"/>
      <c r="Q607" s="26"/>
      <c r="R607" s="27"/>
    </row>
    <row r="608" spans="2:18" x14ac:dyDescent="0.25">
      <c r="B608" s="32"/>
      <c r="C608" s="24"/>
      <c r="D608" s="25"/>
      <c r="E608" s="26"/>
      <c r="F608" s="26"/>
      <c r="G608" s="26"/>
      <c r="H608" s="26"/>
      <c r="I608" s="26"/>
      <c r="J608" s="26"/>
      <c r="K608" s="26"/>
      <c r="L608" s="26"/>
      <c r="M608" s="26"/>
      <c r="N608" s="26"/>
      <c r="O608" s="26"/>
      <c r="P608" s="26"/>
      <c r="Q608" s="26"/>
      <c r="R608" s="27"/>
    </row>
    <row r="609" spans="2:18" x14ac:dyDescent="0.25">
      <c r="B609" s="32"/>
      <c r="C609" s="24"/>
      <c r="D609" s="25"/>
      <c r="E609" s="26"/>
      <c r="F609" s="26"/>
      <c r="G609" s="26"/>
      <c r="H609" s="26"/>
      <c r="I609" s="26"/>
      <c r="J609" s="26"/>
      <c r="K609" s="26"/>
      <c r="L609" s="26"/>
      <c r="M609" s="26"/>
      <c r="N609" s="26"/>
      <c r="O609" s="26"/>
      <c r="P609" s="26"/>
      <c r="Q609" s="26"/>
      <c r="R609" s="27"/>
    </row>
    <row r="610" spans="2:18" x14ac:dyDescent="0.25">
      <c r="B610" s="32"/>
      <c r="C610" s="24"/>
      <c r="D610" s="25"/>
      <c r="E610" s="26"/>
      <c r="F610" s="26"/>
      <c r="G610" s="26"/>
      <c r="H610" s="26"/>
      <c r="I610" s="26"/>
      <c r="J610" s="26"/>
      <c r="K610" s="26"/>
      <c r="L610" s="26"/>
      <c r="M610" s="26"/>
      <c r="N610" s="26"/>
      <c r="O610" s="26"/>
      <c r="P610" s="26"/>
      <c r="Q610" s="26"/>
      <c r="R610" s="27"/>
    </row>
    <row r="611" spans="2:18" x14ac:dyDescent="0.25">
      <c r="B611" s="32"/>
      <c r="C611" s="24"/>
      <c r="D611" s="25"/>
      <c r="E611" s="26"/>
      <c r="F611" s="26"/>
      <c r="G611" s="26"/>
      <c r="H611" s="26"/>
      <c r="I611" s="26"/>
      <c r="J611" s="26"/>
      <c r="K611" s="26"/>
      <c r="L611" s="26"/>
      <c r="M611" s="26"/>
      <c r="N611" s="26"/>
      <c r="O611" s="26"/>
      <c r="P611" s="26"/>
      <c r="Q611" s="26"/>
      <c r="R611" s="27"/>
    </row>
    <row r="612" spans="2:18" x14ac:dyDescent="0.25">
      <c r="B612" s="32"/>
      <c r="C612" s="24"/>
      <c r="D612" s="25"/>
      <c r="E612" s="26"/>
      <c r="F612" s="26"/>
      <c r="G612" s="26"/>
      <c r="H612" s="26"/>
      <c r="I612" s="26"/>
      <c r="J612" s="26"/>
      <c r="K612" s="26"/>
      <c r="L612" s="26"/>
      <c r="M612" s="26"/>
      <c r="N612" s="26"/>
      <c r="O612" s="26"/>
      <c r="P612" s="26"/>
      <c r="Q612" s="26"/>
      <c r="R612" s="27"/>
    </row>
    <row r="613" spans="2:18" x14ac:dyDescent="0.25">
      <c r="B613" s="32"/>
      <c r="C613" s="24"/>
      <c r="D613" s="25"/>
      <c r="E613" s="26"/>
      <c r="F613" s="26"/>
      <c r="G613" s="26"/>
      <c r="H613" s="26"/>
      <c r="I613" s="26"/>
      <c r="J613" s="26"/>
      <c r="K613" s="26"/>
      <c r="L613" s="26"/>
      <c r="M613" s="26"/>
      <c r="N613" s="26"/>
      <c r="O613" s="26"/>
      <c r="P613" s="26"/>
      <c r="Q613" s="26"/>
      <c r="R613" s="27"/>
    </row>
    <row r="614" spans="2:18" ht="16.5" thickBot="1" x14ac:dyDescent="0.3">
      <c r="B614" s="32"/>
      <c r="C614" s="24"/>
      <c r="D614" s="25"/>
      <c r="E614" s="26"/>
      <c r="F614" s="26"/>
      <c r="G614" s="26"/>
      <c r="H614" s="26"/>
      <c r="I614" s="26"/>
      <c r="J614" s="26"/>
      <c r="K614" s="26"/>
      <c r="L614" s="26"/>
      <c r="M614" s="26"/>
      <c r="N614" s="26"/>
      <c r="O614" s="26"/>
      <c r="P614" s="26"/>
      <c r="Q614" s="26"/>
      <c r="R614" s="27"/>
    </row>
    <row r="615" spans="2:18" ht="19.5" thickBot="1" x14ac:dyDescent="0.35">
      <c r="B615" s="32"/>
      <c r="C615" s="302" t="s">
        <v>0</v>
      </c>
      <c r="D615" s="317" t="s">
        <v>7</v>
      </c>
      <c r="E615" s="318" t="s">
        <v>103</v>
      </c>
      <c r="F615" s="318" t="s">
        <v>104</v>
      </c>
      <c r="G615" s="318" t="s">
        <v>105</v>
      </c>
      <c r="H615" s="318" t="s">
        <v>106</v>
      </c>
      <c r="I615" s="318" t="s">
        <v>108</v>
      </c>
      <c r="J615" s="319" t="s">
        <v>268</v>
      </c>
      <c r="K615" s="26" t="s">
        <v>71</v>
      </c>
      <c r="L615" s="26"/>
      <c r="M615" s="26"/>
      <c r="N615" s="26"/>
      <c r="O615" s="26"/>
      <c r="P615" s="26"/>
      <c r="Q615" s="26"/>
      <c r="R615" s="27"/>
    </row>
    <row r="616" spans="2:18" x14ac:dyDescent="0.25">
      <c r="B616" s="32"/>
      <c r="C616" s="272" t="s">
        <v>458</v>
      </c>
      <c r="D616" s="194">
        <f>IF(AND(ISNUMBER(D342),ISNUMBER(D336),ISNUMBER(D323)),(D342+D336)/D323,"SIN DATOS")</f>
        <v>0.20550568714219172</v>
      </c>
      <c r="E616" s="195">
        <f>IF(AND(ISNUMBER(E342),ISNUMBER(E336),ISNUMBER(E323)),(E342+E336)/E323,"SIN DATOS")</f>
        <v>0.1440983950421352</v>
      </c>
      <c r="F616" s="195">
        <f>IF(AND(ISNUMBER(F342),ISNUMBER(F336),ISNUMBER(F323)),(F342+F336)/F323,"SIN DATOS")</f>
        <v>9.2074976052210336E-2</v>
      </c>
      <c r="G616" s="195">
        <f>IF(AND(ISNUMBER(G342),ISNUMBER(G336),ISNUMBER(G323)),(G342+G336)/G323,"SIN DATOS")</f>
        <v>4.0978969779739839E-2</v>
      </c>
      <c r="H616" s="195">
        <f>IF(AND(ISNUMBER(H342),ISNUMBER(H336),ISNUMBER(H323)),(H342+H336)/H323,"SIN DATOS")</f>
        <v>0</v>
      </c>
      <c r="I616" s="198">
        <f>IF(AND(ISNUMBER(D616),ISNUMBER(E616),ISNUMBER(F616),ISNUMBER(G616),ISNUMBER(H616)),TREND(D616:H616,D$304:H$304,I$304),"SIN DATOS")</f>
        <v>-5.7707634260778184E-2</v>
      </c>
      <c r="J616" s="177"/>
      <c r="K616" s="167"/>
      <c r="L616" s="26"/>
      <c r="M616" s="26"/>
      <c r="N616" s="26"/>
      <c r="O616" s="26"/>
      <c r="P616" s="26"/>
      <c r="Q616" s="26"/>
      <c r="R616" s="27"/>
    </row>
    <row r="617" spans="2:18" ht="16.5" thickBot="1" x14ac:dyDescent="0.3">
      <c r="B617" s="32"/>
      <c r="C617" s="186" t="s">
        <v>118</v>
      </c>
      <c r="D617" s="196">
        <f>(Sector!F126+Sector!F118)/Sector!F108</f>
        <v>1.545536603657746</v>
      </c>
      <c r="E617" s="197">
        <f>(Sector!G126+Sector!G118)/Sector!G108</f>
        <v>1.6512702383263806</v>
      </c>
      <c r="F617" s="197">
        <f>(Sector!H126+Sector!H118)/Sector!H108</f>
        <v>1.8234128510364747</v>
      </c>
      <c r="G617" s="197">
        <f>(Sector!I126+Sector!I118)/Sector!I108</f>
        <v>1.8617744707786765</v>
      </c>
      <c r="H617" s="197">
        <f>(Sector!J126+Sector!J118)/Sector!J108</f>
        <v>1.5748261705199205</v>
      </c>
      <c r="I617" s="199">
        <f>IF(AND(ISNUMBER(D617),ISNUMBER(E617),ISNUMBER(F617),ISNUMBER(G617),ISNUMBER(H617)),TREND(D617:H617,D$304:H$304,I$304),"SIN DATOS")</f>
        <v>1.7720890767168327</v>
      </c>
      <c r="J617" s="176"/>
      <c r="K617" s="167"/>
      <c r="L617" s="26"/>
      <c r="M617" s="26"/>
      <c r="N617" s="26"/>
      <c r="O617" s="26"/>
      <c r="P617" s="26"/>
      <c r="Q617" s="26"/>
      <c r="R617" s="27"/>
    </row>
    <row r="618" spans="2:18" thickBot="1" x14ac:dyDescent="0.3">
      <c r="B618" s="32"/>
      <c r="C618" s="178" t="s">
        <v>457</v>
      </c>
      <c r="D618" s="179" t="str">
        <f t="shared" ref="D618:I618" si="64">IF(D616&lt;=D617,IF(D616=D617,"═","▲"),"▼")</f>
        <v>▲</v>
      </c>
      <c r="E618" s="180" t="str">
        <f t="shared" si="64"/>
        <v>▲</v>
      </c>
      <c r="F618" s="180" t="str">
        <f t="shared" si="64"/>
        <v>▲</v>
      </c>
      <c r="G618" s="180" t="str">
        <f t="shared" si="64"/>
        <v>▲</v>
      </c>
      <c r="H618" s="180" t="str">
        <f t="shared" si="64"/>
        <v>▲</v>
      </c>
      <c r="I618" s="181" t="str">
        <f t="shared" si="64"/>
        <v>▲</v>
      </c>
      <c r="J618" s="26"/>
      <c r="K618" s="167"/>
      <c r="L618" s="26"/>
      <c r="M618" s="26"/>
      <c r="N618" s="26"/>
      <c r="O618" s="26"/>
      <c r="P618" s="26"/>
      <c r="Q618" s="26"/>
      <c r="R618" s="27"/>
    </row>
    <row r="619" spans="2:18" ht="15" x14ac:dyDescent="0.25">
      <c r="B619" s="32"/>
      <c r="C619" s="26"/>
      <c r="D619" s="167"/>
      <c r="E619" s="167"/>
      <c r="F619" s="167"/>
      <c r="G619" s="167"/>
      <c r="H619" s="167"/>
      <c r="I619" s="167"/>
      <c r="J619" s="26"/>
      <c r="K619" s="167"/>
      <c r="L619" s="26"/>
      <c r="M619" s="26"/>
      <c r="N619" s="26"/>
      <c r="O619" s="26"/>
      <c r="P619" s="26"/>
      <c r="Q619" s="26"/>
      <c r="R619" s="27"/>
    </row>
    <row r="620" spans="2:18" ht="15" x14ac:dyDescent="0.25">
      <c r="B620" s="32"/>
      <c r="C620" s="26"/>
      <c r="D620" s="167"/>
      <c r="E620" s="167"/>
      <c r="F620" s="167"/>
      <c r="G620" s="167"/>
      <c r="H620" s="167"/>
      <c r="I620" s="167"/>
      <c r="J620" s="26"/>
      <c r="K620" s="167"/>
      <c r="L620" s="26"/>
      <c r="M620" s="26"/>
      <c r="N620" s="26"/>
      <c r="O620" s="26"/>
      <c r="P620" s="26"/>
      <c r="Q620" s="26"/>
      <c r="R620" s="27"/>
    </row>
    <row r="621" spans="2:18" ht="15" x14ac:dyDescent="0.25">
      <c r="B621" s="32"/>
      <c r="C621" s="26"/>
      <c r="D621" s="167"/>
      <c r="E621" s="167"/>
      <c r="F621" s="167"/>
      <c r="G621" s="167"/>
      <c r="H621" s="167"/>
      <c r="I621" s="167"/>
      <c r="J621" s="26"/>
      <c r="K621" s="167"/>
      <c r="L621" s="26"/>
      <c r="M621" s="26"/>
      <c r="N621" s="26"/>
      <c r="O621" s="26"/>
      <c r="P621" s="26"/>
      <c r="Q621" s="26"/>
      <c r="R621" s="27"/>
    </row>
    <row r="622" spans="2:18" ht="15" x14ac:dyDescent="0.25">
      <c r="B622" s="32"/>
      <c r="C622" s="26"/>
      <c r="D622" s="167"/>
      <c r="E622" s="167"/>
      <c r="F622" s="167"/>
      <c r="G622" s="167"/>
      <c r="H622" s="167"/>
      <c r="I622" s="167"/>
      <c r="J622" s="26"/>
      <c r="K622" s="167"/>
      <c r="L622" s="26"/>
      <c r="M622" s="26"/>
      <c r="N622" s="26"/>
      <c r="O622" s="26"/>
      <c r="P622" s="26"/>
      <c r="Q622" s="26"/>
      <c r="R622" s="27"/>
    </row>
    <row r="623" spans="2:18" ht="15" x14ac:dyDescent="0.25">
      <c r="B623" s="32"/>
      <c r="C623" s="26"/>
      <c r="D623" s="167"/>
      <c r="E623" s="167"/>
      <c r="F623" s="167"/>
      <c r="G623" s="167"/>
      <c r="H623" s="167"/>
      <c r="I623" s="167"/>
      <c r="J623" s="26"/>
      <c r="K623" s="167"/>
      <c r="L623" s="26"/>
      <c r="M623" s="26"/>
      <c r="N623" s="26"/>
      <c r="O623" s="26"/>
      <c r="P623" s="26"/>
      <c r="Q623" s="26"/>
      <c r="R623" s="27"/>
    </row>
    <row r="624" spans="2:18" ht="15" x14ac:dyDescent="0.25">
      <c r="B624" s="32"/>
      <c r="C624" s="26"/>
      <c r="D624" s="167"/>
      <c r="E624" s="167"/>
      <c r="F624" s="167"/>
      <c r="G624" s="167"/>
      <c r="H624" s="167"/>
      <c r="I624" s="167"/>
      <c r="J624" s="26"/>
      <c r="K624" s="167"/>
      <c r="L624" s="26"/>
      <c r="M624" s="26"/>
      <c r="N624" s="26"/>
      <c r="O624" s="26"/>
      <c r="P624" s="26"/>
      <c r="Q624" s="26"/>
      <c r="R624" s="27"/>
    </row>
    <row r="625" spans="2:18" ht="15" x14ac:dyDescent="0.25">
      <c r="B625" s="32"/>
      <c r="C625" s="26"/>
      <c r="D625" s="167"/>
      <c r="E625" s="167"/>
      <c r="F625" s="167"/>
      <c r="G625" s="167"/>
      <c r="H625" s="167"/>
      <c r="I625" s="167"/>
      <c r="J625" s="26"/>
      <c r="K625" s="167"/>
      <c r="L625" s="26"/>
      <c r="M625" s="26"/>
      <c r="N625" s="26"/>
      <c r="O625" s="26"/>
      <c r="P625" s="26"/>
      <c r="Q625" s="26"/>
      <c r="R625" s="27"/>
    </row>
    <row r="626" spans="2:18" ht="15" x14ac:dyDescent="0.25">
      <c r="B626" s="32"/>
      <c r="C626" s="26"/>
      <c r="D626" s="167"/>
      <c r="E626" s="167"/>
      <c r="F626" s="167"/>
      <c r="G626" s="167"/>
      <c r="H626" s="167"/>
      <c r="I626" s="167"/>
      <c r="J626" s="26"/>
      <c r="K626" s="167"/>
      <c r="L626" s="26"/>
      <c r="M626" s="26"/>
      <c r="N626" s="26"/>
      <c r="O626" s="26"/>
      <c r="P626" s="26"/>
      <c r="Q626" s="26"/>
      <c r="R626" s="27"/>
    </row>
    <row r="627" spans="2:18" ht="15" x14ac:dyDescent="0.25">
      <c r="B627" s="32"/>
      <c r="C627" s="26"/>
      <c r="D627" s="167"/>
      <c r="E627" s="167"/>
      <c r="F627" s="167"/>
      <c r="G627" s="167"/>
      <c r="H627" s="167"/>
      <c r="I627" s="167"/>
      <c r="J627" s="26"/>
      <c r="K627" s="167"/>
      <c r="L627" s="26"/>
      <c r="M627" s="26"/>
      <c r="N627" s="26"/>
      <c r="O627" s="26"/>
      <c r="P627" s="26"/>
      <c r="Q627" s="26"/>
      <c r="R627" s="27"/>
    </row>
    <row r="628" spans="2:18" ht="15" x14ac:dyDescent="0.25">
      <c r="B628" s="32"/>
      <c r="C628" s="26"/>
      <c r="D628" s="167"/>
      <c r="E628" s="167"/>
      <c r="F628" s="167"/>
      <c r="G628" s="167"/>
      <c r="H628" s="167"/>
      <c r="I628" s="167"/>
      <c r="J628" s="26"/>
      <c r="K628" s="167"/>
      <c r="L628" s="26"/>
      <c r="M628" s="26"/>
      <c r="N628" s="26"/>
      <c r="O628" s="26"/>
      <c r="P628" s="26"/>
      <c r="Q628" s="26"/>
      <c r="R628" s="27"/>
    </row>
    <row r="629" spans="2:18" ht="15" x14ac:dyDescent="0.25">
      <c r="B629" s="32"/>
      <c r="C629" s="26"/>
      <c r="D629" s="167"/>
      <c r="E629" s="167"/>
      <c r="F629" s="167"/>
      <c r="G629" s="167"/>
      <c r="H629" s="167"/>
      <c r="I629" s="167"/>
      <c r="J629" s="26"/>
      <c r="K629" s="167"/>
      <c r="L629" s="26"/>
      <c r="M629" s="26"/>
      <c r="N629" s="26"/>
      <c r="O629" s="26"/>
      <c r="P629" s="26"/>
      <c r="Q629" s="26"/>
      <c r="R629" s="27"/>
    </row>
    <row r="630" spans="2:18" ht="15" x14ac:dyDescent="0.25">
      <c r="B630" s="32"/>
      <c r="C630" s="26"/>
      <c r="D630" s="167"/>
      <c r="E630" s="167"/>
      <c r="F630" s="167"/>
      <c r="G630" s="167"/>
      <c r="H630" s="167"/>
      <c r="I630" s="167"/>
      <c r="J630" s="26"/>
      <c r="K630" s="167"/>
      <c r="L630" s="26"/>
      <c r="M630" s="26"/>
      <c r="N630" s="26"/>
      <c r="O630" s="26"/>
      <c r="P630" s="26"/>
      <c r="Q630" s="26"/>
      <c r="R630" s="27"/>
    </row>
    <row r="631" spans="2:18" ht="15" x14ac:dyDescent="0.25">
      <c r="B631" s="32"/>
      <c r="C631" s="26"/>
      <c r="D631" s="167"/>
      <c r="E631" s="167"/>
      <c r="F631" s="167"/>
      <c r="G631" s="167"/>
      <c r="H631" s="167"/>
      <c r="I631" s="167"/>
      <c r="J631" s="26"/>
      <c r="K631" s="167"/>
      <c r="L631" s="26"/>
      <c r="M631" s="26"/>
      <c r="N631" s="26"/>
      <c r="O631" s="26"/>
      <c r="P631" s="26"/>
      <c r="Q631" s="26"/>
      <c r="R631" s="27"/>
    </row>
    <row r="632" spans="2:18" ht="15" x14ac:dyDescent="0.25">
      <c r="B632" s="32"/>
      <c r="C632" s="26"/>
      <c r="D632" s="167"/>
      <c r="E632" s="167"/>
      <c r="F632" s="167"/>
      <c r="G632" s="167"/>
      <c r="H632" s="167"/>
      <c r="I632" s="167"/>
      <c r="J632" s="26"/>
      <c r="K632" s="167"/>
      <c r="L632" s="26"/>
      <c r="M632" s="26"/>
      <c r="N632" s="26"/>
      <c r="O632" s="26"/>
      <c r="P632" s="26"/>
      <c r="Q632" s="26"/>
      <c r="R632" s="27"/>
    </row>
    <row r="633" spans="2:18" ht="15" x14ac:dyDescent="0.25">
      <c r="B633" s="32"/>
      <c r="C633" s="26"/>
      <c r="D633" s="167"/>
      <c r="E633" s="167"/>
      <c r="F633" s="167"/>
      <c r="G633" s="167"/>
      <c r="H633" s="167"/>
      <c r="I633" s="167"/>
      <c r="J633" s="26"/>
      <c r="K633" s="167"/>
      <c r="L633" s="26"/>
      <c r="M633" s="26"/>
      <c r="N633" s="26"/>
      <c r="O633" s="26"/>
      <c r="P633" s="26"/>
      <c r="Q633" s="26"/>
      <c r="R633" s="27"/>
    </row>
    <row r="634" spans="2:18" ht="15" x14ac:dyDescent="0.25">
      <c r="B634" s="32"/>
      <c r="C634" s="26"/>
      <c r="D634" s="167"/>
      <c r="E634" s="167"/>
      <c r="F634" s="167"/>
      <c r="G634" s="167"/>
      <c r="H634" s="167"/>
      <c r="I634" s="167"/>
      <c r="J634" s="26"/>
      <c r="K634" s="167"/>
      <c r="L634" s="26"/>
      <c r="M634" s="26"/>
      <c r="N634" s="26"/>
      <c r="O634" s="26"/>
      <c r="P634" s="26"/>
      <c r="Q634" s="26"/>
      <c r="R634" s="27"/>
    </row>
    <row r="635" spans="2:18" ht="15" x14ac:dyDescent="0.25">
      <c r="B635" s="32"/>
      <c r="C635" s="26"/>
      <c r="D635" s="167"/>
      <c r="E635" s="167"/>
      <c r="F635" s="167"/>
      <c r="G635" s="167"/>
      <c r="H635" s="167"/>
      <c r="I635" s="167"/>
      <c r="J635" s="26"/>
      <c r="K635" s="167"/>
      <c r="L635" s="26"/>
      <c r="M635" s="26"/>
      <c r="N635" s="26"/>
      <c r="O635" s="26"/>
      <c r="P635" s="26"/>
      <c r="Q635" s="26"/>
      <c r="R635" s="27"/>
    </row>
    <row r="636" spans="2:18" ht="15" x14ac:dyDescent="0.25">
      <c r="B636" s="32"/>
      <c r="C636" s="26"/>
      <c r="D636" s="167"/>
      <c r="E636" s="167"/>
      <c r="F636" s="167"/>
      <c r="G636" s="167"/>
      <c r="H636" s="167"/>
      <c r="I636" s="167"/>
      <c r="J636" s="26"/>
      <c r="K636" s="167"/>
      <c r="L636" s="26"/>
      <c r="M636" s="26"/>
      <c r="N636" s="26"/>
      <c r="O636" s="26"/>
      <c r="P636" s="26"/>
      <c r="Q636" s="26"/>
      <c r="R636" s="27"/>
    </row>
    <row r="637" spans="2:18" ht="16.5" thickBot="1" x14ac:dyDescent="0.3">
      <c r="B637" s="32"/>
      <c r="C637" s="24"/>
      <c r="D637" s="25"/>
      <c r="E637" s="26"/>
      <c r="F637" s="26"/>
      <c r="G637" s="26"/>
      <c r="H637" s="26"/>
      <c r="I637" s="26"/>
      <c r="J637" s="26"/>
      <c r="K637" s="26"/>
      <c r="L637" s="26"/>
      <c r="M637" s="26"/>
      <c r="N637" s="26"/>
      <c r="O637" s="26"/>
      <c r="P637" s="26"/>
      <c r="Q637" s="26"/>
      <c r="R637" s="27"/>
    </row>
    <row r="638" spans="2:18" ht="19.5" thickBot="1" x14ac:dyDescent="0.35">
      <c r="B638" s="32"/>
      <c r="C638" s="302" t="s">
        <v>1</v>
      </c>
      <c r="D638" s="317" t="s">
        <v>7</v>
      </c>
      <c r="E638" s="318" t="s">
        <v>103</v>
      </c>
      <c r="F638" s="318" t="s">
        <v>104</v>
      </c>
      <c r="G638" s="318" t="s">
        <v>105</v>
      </c>
      <c r="H638" s="318" t="s">
        <v>106</v>
      </c>
      <c r="I638" s="318" t="s">
        <v>108</v>
      </c>
      <c r="J638" s="319" t="s">
        <v>268</v>
      </c>
      <c r="K638" s="26" t="s">
        <v>73</v>
      </c>
      <c r="L638" s="26"/>
      <c r="M638" s="26"/>
      <c r="N638" s="26"/>
      <c r="O638" s="26"/>
      <c r="P638" s="26"/>
      <c r="Q638" s="26"/>
      <c r="R638" s="27"/>
    </row>
    <row r="639" spans="2:18" x14ac:dyDescent="0.25">
      <c r="B639" s="32"/>
      <c r="C639" s="272" t="s">
        <v>458</v>
      </c>
      <c r="D639" s="194">
        <f>IF(AND(ISNUMBER(D366),ISNUMBER(D373)),D366/D373,"SIN DATOS")</f>
        <v>2.550303672210761E-2</v>
      </c>
      <c r="E639" s="195">
        <f>IF(AND(ISNUMBER(E366),ISNUMBER(E373)),E366/E373,"SIN DATOS")</f>
        <v>1.6382295953432359E-2</v>
      </c>
      <c r="F639" s="195">
        <f>IF(AND(ISNUMBER(F366),ISNUMBER(F373)),F366/F373,"SIN DATOS")</f>
        <v>1.0417408252948094E-2</v>
      </c>
      <c r="G639" s="195">
        <f>IF(AND(ISNUMBER(G366),ISNUMBER(G373)),G366/G373,"SIN DATOS")</f>
        <v>4.9413615006813653E-3</v>
      </c>
      <c r="H639" s="195">
        <f>IF(AND(ISNUMBER(H366),ISNUMBER(H373)),H366/H373,"SIN DATOS")</f>
        <v>1.2038467127285005E-3</v>
      </c>
      <c r="I639" s="198">
        <f>IF(AND(ISNUMBER(D639),ISNUMBER(E639),ISNUMBER(F639),ISNUMBER(G639),ISNUMBER(H639)),TREND(D639:H639,D$304:H$304,I$304),"SIN DATOS")</f>
        <v>-6.3222045130731722E-3</v>
      </c>
      <c r="J639" s="177"/>
      <c r="K639" s="167"/>
      <c r="L639" s="26"/>
      <c r="M639" s="26"/>
      <c r="N639" s="26"/>
      <c r="O639" s="26"/>
      <c r="P639" s="26"/>
      <c r="Q639" s="26"/>
      <c r="R639" s="27"/>
    </row>
    <row r="640" spans="2:18" ht="16.5" thickBot="1" x14ac:dyDescent="0.3">
      <c r="B640" s="32"/>
      <c r="C640" s="186" t="s">
        <v>118</v>
      </c>
      <c r="D640" s="196">
        <f>Sector!F51/Sector!F74</f>
        <v>0.15946110937195074</v>
      </c>
      <c r="E640" s="197">
        <f>Sector!G51/Sector!G74</f>
        <v>0.21390571707638997</v>
      </c>
      <c r="F640" s="197">
        <f>Sector!H51/Sector!H74</f>
        <v>0.25022925409275543</v>
      </c>
      <c r="G640" s="197">
        <f>Sector!I51/Sector!I74</f>
        <v>0.49069600661574497</v>
      </c>
      <c r="H640" s="197">
        <f>Sector!J51/Sector!J74</f>
        <v>0.40134568312124841</v>
      </c>
      <c r="I640" s="199">
        <f>IF(AND(ISNUMBER(D640),ISNUMBER(E640),ISNUMBER(F640),ISNUMBER(G640),ISNUMBER(H640)),TREND(D640:H640,D$304:H$304,I$304),"SIN DATOS")</f>
        <v>0.53129538516700303</v>
      </c>
      <c r="J640" s="176"/>
      <c r="K640" s="167"/>
      <c r="L640" s="26"/>
      <c r="M640" s="26"/>
      <c r="N640" s="26"/>
      <c r="O640" s="26"/>
      <c r="P640" s="26"/>
      <c r="Q640" s="26"/>
      <c r="R640" s="27"/>
    </row>
    <row r="641" spans="2:18" thickBot="1" x14ac:dyDescent="0.3">
      <c r="B641" s="32"/>
      <c r="C641" s="178" t="s">
        <v>457</v>
      </c>
      <c r="D641" s="179" t="str">
        <f t="shared" ref="D641:I641" si="65">IF(D639&lt;=D640,IF(D639=D640,"═","▲"),"▼")</f>
        <v>▲</v>
      </c>
      <c r="E641" s="180" t="str">
        <f t="shared" si="65"/>
        <v>▲</v>
      </c>
      <c r="F641" s="180" t="str">
        <f t="shared" si="65"/>
        <v>▲</v>
      </c>
      <c r="G641" s="180" t="str">
        <f t="shared" si="65"/>
        <v>▲</v>
      </c>
      <c r="H641" s="180" t="str">
        <f t="shared" si="65"/>
        <v>▲</v>
      </c>
      <c r="I641" s="181" t="str">
        <f t="shared" si="65"/>
        <v>▲</v>
      </c>
      <c r="J641" s="26"/>
      <c r="K641" s="167"/>
      <c r="L641" s="26"/>
      <c r="M641" s="26"/>
      <c r="N641" s="26"/>
      <c r="O641" s="26"/>
      <c r="P641" s="26"/>
      <c r="Q641" s="26"/>
      <c r="R641" s="27"/>
    </row>
    <row r="642" spans="2:18" ht="15" x14ac:dyDescent="0.25">
      <c r="B642" s="32"/>
      <c r="C642" s="167"/>
      <c r="D642" s="167"/>
      <c r="E642" s="167"/>
      <c r="F642" s="167"/>
      <c r="G642" s="167"/>
      <c r="H642" s="167"/>
      <c r="I642" s="167"/>
      <c r="J642" s="26"/>
      <c r="K642" s="167"/>
      <c r="L642" s="26"/>
      <c r="M642" s="26"/>
      <c r="N642" s="26"/>
      <c r="O642" s="26"/>
      <c r="P642" s="26"/>
      <c r="Q642" s="26"/>
      <c r="R642" s="27"/>
    </row>
    <row r="643" spans="2:18" ht="15" x14ac:dyDescent="0.25">
      <c r="B643" s="32"/>
      <c r="C643" s="167"/>
      <c r="D643" s="167"/>
      <c r="E643" s="167"/>
      <c r="F643" s="167"/>
      <c r="G643" s="167"/>
      <c r="H643" s="167"/>
      <c r="I643" s="167"/>
      <c r="J643" s="26"/>
      <c r="K643" s="167"/>
      <c r="L643" s="26"/>
      <c r="M643" s="26"/>
      <c r="N643" s="26"/>
      <c r="O643" s="26"/>
      <c r="P643" s="26"/>
      <c r="Q643" s="26"/>
      <c r="R643" s="27"/>
    </row>
    <row r="644" spans="2:18" ht="15" x14ac:dyDescent="0.25">
      <c r="B644" s="32"/>
      <c r="C644" s="167"/>
      <c r="D644" s="167"/>
      <c r="E644" s="167"/>
      <c r="F644" s="167"/>
      <c r="G644" s="167"/>
      <c r="H644" s="167"/>
      <c r="I644" s="167"/>
      <c r="J644" s="26"/>
      <c r="K644" s="167"/>
      <c r="L644" s="26"/>
      <c r="M644" s="26"/>
      <c r="N644" s="26"/>
      <c r="O644" s="26"/>
      <c r="P644" s="26"/>
      <c r="Q644" s="26"/>
      <c r="R644" s="27"/>
    </row>
    <row r="645" spans="2:18" ht="15" x14ac:dyDescent="0.25">
      <c r="B645" s="32"/>
      <c r="C645" s="167"/>
      <c r="D645" s="167"/>
      <c r="E645" s="167"/>
      <c r="F645" s="167"/>
      <c r="G645" s="167"/>
      <c r="H645" s="167"/>
      <c r="I645" s="167"/>
      <c r="J645" s="26"/>
      <c r="K645" s="167"/>
      <c r="L645" s="26"/>
      <c r="M645" s="26"/>
      <c r="N645" s="26"/>
      <c r="O645" s="26"/>
      <c r="P645" s="26"/>
      <c r="Q645" s="26"/>
      <c r="R645" s="27"/>
    </row>
    <row r="646" spans="2:18" ht="15" x14ac:dyDescent="0.25">
      <c r="B646" s="32"/>
      <c r="C646" s="167"/>
      <c r="D646" s="167"/>
      <c r="E646" s="167"/>
      <c r="F646" s="167"/>
      <c r="G646" s="167"/>
      <c r="H646" s="167"/>
      <c r="I646" s="167"/>
      <c r="J646" s="26"/>
      <c r="K646" s="167"/>
      <c r="L646" s="26"/>
      <c r="M646" s="26"/>
      <c r="N646" s="26"/>
      <c r="O646" s="26"/>
      <c r="P646" s="26"/>
      <c r="Q646" s="26"/>
      <c r="R646" s="27"/>
    </row>
    <row r="647" spans="2:18" ht="15" x14ac:dyDescent="0.25">
      <c r="B647" s="32"/>
      <c r="C647" s="167"/>
      <c r="D647" s="167"/>
      <c r="E647" s="167"/>
      <c r="F647" s="167"/>
      <c r="G647" s="167"/>
      <c r="H647" s="167"/>
      <c r="I647" s="167"/>
      <c r="J647" s="26"/>
      <c r="K647" s="167"/>
      <c r="L647" s="26"/>
      <c r="M647" s="26"/>
      <c r="N647" s="26"/>
      <c r="O647" s="26"/>
      <c r="P647" s="26"/>
      <c r="Q647" s="26"/>
      <c r="R647" s="27"/>
    </row>
    <row r="648" spans="2:18" ht="15" x14ac:dyDescent="0.25">
      <c r="B648" s="32"/>
      <c r="C648" s="167"/>
      <c r="D648" s="167"/>
      <c r="E648" s="167"/>
      <c r="F648" s="167"/>
      <c r="G648" s="167"/>
      <c r="H648" s="167"/>
      <c r="I648" s="167"/>
      <c r="J648" s="26"/>
      <c r="K648" s="167"/>
      <c r="L648" s="26"/>
      <c r="M648" s="26"/>
      <c r="N648" s="26"/>
      <c r="O648" s="26"/>
      <c r="P648" s="26"/>
      <c r="Q648" s="26"/>
      <c r="R648" s="27"/>
    </row>
    <row r="649" spans="2:18" ht="15" x14ac:dyDescent="0.25">
      <c r="B649" s="32"/>
      <c r="C649" s="167"/>
      <c r="D649" s="167"/>
      <c r="E649" s="167"/>
      <c r="F649" s="167"/>
      <c r="G649" s="167"/>
      <c r="H649" s="167"/>
      <c r="I649" s="167"/>
      <c r="J649" s="26"/>
      <c r="K649" s="167"/>
      <c r="L649" s="26"/>
      <c r="M649" s="26"/>
      <c r="N649" s="26"/>
      <c r="O649" s="26"/>
      <c r="P649" s="26"/>
      <c r="Q649" s="26"/>
      <c r="R649" s="27"/>
    </row>
    <row r="650" spans="2:18" ht="15" x14ac:dyDescent="0.25">
      <c r="B650" s="32"/>
      <c r="C650" s="167"/>
      <c r="D650" s="167"/>
      <c r="E650" s="167"/>
      <c r="F650" s="167"/>
      <c r="G650" s="167"/>
      <c r="H650" s="167"/>
      <c r="I650" s="167"/>
      <c r="J650" s="26"/>
      <c r="K650" s="167"/>
      <c r="L650" s="26"/>
      <c r="M650" s="26"/>
      <c r="N650" s="26"/>
      <c r="O650" s="26"/>
      <c r="P650" s="26"/>
      <c r="Q650" s="26"/>
      <c r="R650" s="27"/>
    </row>
    <row r="651" spans="2:18" ht="15" x14ac:dyDescent="0.25">
      <c r="B651" s="32"/>
      <c r="C651" s="167"/>
      <c r="D651" s="167"/>
      <c r="E651" s="167"/>
      <c r="F651" s="167"/>
      <c r="G651" s="167"/>
      <c r="H651" s="167"/>
      <c r="I651" s="167"/>
      <c r="J651" s="26"/>
      <c r="K651" s="167"/>
      <c r="L651" s="26"/>
      <c r="M651" s="26"/>
      <c r="N651" s="26"/>
      <c r="O651" s="26"/>
      <c r="P651" s="26"/>
      <c r="Q651" s="26"/>
      <c r="R651" s="27"/>
    </row>
    <row r="652" spans="2:18" ht="15" x14ac:dyDescent="0.25">
      <c r="B652" s="32"/>
      <c r="C652" s="167"/>
      <c r="D652" s="167"/>
      <c r="E652" s="167"/>
      <c r="F652" s="167"/>
      <c r="G652" s="167"/>
      <c r="H652" s="167"/>
      <c r="I652" s="167"/>
      <c r="J652" s="26"/>
      <c r="K652" s="167"/>
      <c r="L652" s="26"/>
      <c r="M652" s="26"/>
      <c r="N652" s="26"/>
      <c r="O652" s="26"/>
      <c r="P652" s="26"/>
      <c r="Q652" s="26"/>
      <c r="R652" s="27"/>
    </row>
    <row r="653" spans="2:18" ht="15" x14ac:dyDescent="0.25">
      <c r="B653" s="32"/>
      <c r="C653" s="167"/>
      <c r="D653" s="167"/>
      <c r="E653" s="167"/>
      <c r="F653" s="167"/>
      <c r="G653" s="167"/>
      <c r="H653" s="167"/>
      <c r="I653" s="167"/>
      <c r="J653" s="26"/>
      <c r="K653" s="167"/>
      <c r="L653" s="26"/>
      <c r="M653" s="26"/>
      <c r="N653" s="26"/>
      <c r="O653" s="26"/>
      <c r="P653" s="26"/>
      <c r="Q653" s="26"/>
      <c r="R653" s="27"/>
    </row>
    <row r="654" spans="2:18" ht="15" x14ac:dyDescent="0.25">
      <c r="B654" s="32"/>
      <c r="C654" s="167"/>
      <c r="D654" s="167"/>
      <c r="E654" s="167"/>
      <c r="F654" s="167"/>
      <c r="G654" s="167"/>
      <c r="H654" s="167"/>
      <c r="I654" s="167"/>
      <c r="J654" s="26"/>
      <c r="K654" s="167"/>
      <c r="L654" s="26"/>
      <c r="M654" s="26"/>
      <c r="N654" s="26"/>
      <c r="O654" s="26"/>
      <c r="P654" s="26"/>
      <c r="Q654" s="26"/>
      <c r="R654" s="27"/>
    </row>
    <row r="655" spans="2:18" ht="15" x14ac:dyDescent="0.25">
      <c r="B655" s="32"/>
      <c r="C655" s="167"/>
      <c r="D655" s="167"/>
      <c r="E655" s="167"/>
      <c r="F655" s="167"/>
      <c r="G655" s="167"/>
      <c r="H655" s="167"/>
      <c r="I655" s="167"/>
      <c r="J655" s="26"/>
      <c r="K655" s="167"/>
      <c r="L655" s="26"/>
      <c r="M655" s="26"/>
      <c r="N655" s="26"/>
      <c r="O655" s="26"/>
      <c r="P655" s="26"/>
      <c r="Q655" s="26"/>
      <c r="R655" s="27"/>
    </row>
    <row r="656" spans="2:18" ht="15" x14ac:dyDescent="0.25">
      <c r="B656" s="32"/>
      <c r="C656" s="167"/>
      <c r="D656" s="167"/>
      <c r="E656" s="167"/>
      <c r="F656" s="167"/>
      <c r="G656" s="167"/>
      <c r="H656" s="167"/>
      <c r="I656" s="167"/>
      <c r="J656" s="26"/>
      <c r="K656" s="167"/>
      <c r="L656" s="26"/>
      <c r="M656" s="26"/>
      <c r="N656" s="26"/>
      <c r="O656" s="26"/>
      <c r="P656" s="26"/>
      <c r="Q656" s="26"/>
      <c r="R656" s="27"/>
    </row>
    <row r="657" spans="2:18" ht="15" x14ac:dyDescent="0.25">
      <c r="B657" s="32"/>
      <c r="C657" s="167"/>
      <c r="D657" s="167"/>
      <c r="E657" s="167"/>
      <c r="F657" s="167"/>
      <c r="G657" s="167"/>
      <c r="H657" s="167"/>
      <c r="I657" s="167"/>
      <c r="J657" s="26"/>
      <c r="K657" s="167"/>
      <c r="L657" s="26"/>
      <c r="M657" s="26"/>
      <c r="N657" s="26"/>
      <c r="O657" s="26"/>
      <c r="P657" s="26"/>
      <c r="Q657" s="26"/>
      <c r="R657" s="27"/>
    </row>
    <row r="658" spans="2:18" ht="15" x14ac:dyDescent="0.25">
      <c r="B658" s="32"/>
      <c r="C658" s="167"/>
      <c r="D658" s="167"/>
      <c r="E658" s="167"/>
      <c r="F658" s="167"/>
      <c r="G658" s="167"/>
      <c r="H658" s="167"/>
      <c r="I658" s="167"/>
      <c r="J658" s="26"/>
      <c r="K658" s="167"/>
      <c r="L658" s="26"/>
      <c r="M658" s="26"/>
      <c r="N658" s="26"/>
      <c r="O658" s="26"/>
      <c r="P658" s="26"/>
      <c r="Q658" s="26"/>
      <c r="R658" s="27"/>
    </row>
    <row r="659" spans="2:18" ht="15" x14ac:dyDescent="0.25">
      <c r="B659" s="32"/>
      <c r="C659" s="167"/>
      <c r="D659" s="167"/>
      <c r="E659" s="167"/>
      <c r="F659" s="167"/>
      <c r="G659" s="167"/>
      <c r="H659" s="167"/>
      <c r="I659" s="167"/>
      <c r="J659" s="26"/>
      <c r="K659" s="167"/>
      <c r="L659" s="26"/>
      <c r="M659" s="26"/>
      <c r="N659" s="26"/>
      <c r="O659" s="26"/>
      <c r="P659" s="26"/>
      <c r="Q659" s="26"/>
      <c r="R659" s="27"/>
    </row>
    <row r="660" spans="2:18" ht="15" x14ac:dyDescent="0.25">
      <c r="B660" s="32"/>
      <c r="C660" s="167"/>
      <c r="D660" s="167"/>
      <c r="E660" s="167"/>
      <c r="F660" s="167"/>
      <c r="G660" s="167"/>
      <c r="H660" s="167"/>
      <c r="I660" s="167"/>
      <c r="J660" s="26"/>
      <c r="K660" s="167"/>
      <c r="L660" s="26"/>
      <c r="M660" s="26"/>
      <c r="N660" s="26"/>
      <c r="O660" s="26"/>
      <c r="P660" s="26"/>
      <c r="Q660" s="26"/>
      <c r="R660" s="27"/>
    </row>
    <row r="661" spans="2:18" ht="15" x14ac:dyDescent="0.25">
      <c r="B661" s="32"/>
      <c r="C661" s="167"/>
      <c r="D661" s="167"/>
      <c r="E661" s="167"/>
      <c r="F661" s="167"/>
      <c r="G661" s="167"/>
      <c r="H661" s="167"/>
      <c r="I661" s="167"/>
      <c r="J661" s="26"/>
      <c r="K661" s="167"/>
      <c r="L661" s="26"/>
      <c r="M661" s="26"/>
      <c r="N661" s="26"/>
      <c r="O661" s="26"/>
      <c r="P661" s="26"/>
      <c r="Q661" s="26"/>
      <c r="R661" s="27"/>
    </row>
    <row r="662" spans="2:18" ht="16.5" thickBot="1" x14ac:dyDescent="0.3">
      <c r="B662" s="32"/>
      <c r="C662" s="24"/>
      <c r="D662" s="25"/>
      <c r="E662" s="26"/>
      <c r="F662" s="26"/>
      <c r="G662" s="26"/>
      <c r="H662" s="26"/>
      <c r="I662" s="26"/>
      <c r="J662" s="26"/>
      <c r="K662" s="26"/>
      <c r="L662" s="26"/>
      <c r="M662" s="26"/>
      <c r="N662" s="26"/>
      <c r="O662" s="26"/>
      <c r="P662" s="26"/>
      <c r="Q662" s="26"/>
      <c r="R662" s="27"/>
    </row>
    <row r="663" spans="2:18" ht="19.5" thickBot="1" x14ac:dyDescent="0.35">
      <c r="B663" s="32"/>
      <c r="C663" s="302" t="s">
        <v>132</v>
      </c>
      <c r="D663" s="317" t="s">
        <v>7</v>
      </c>
      <c r="E663" s="318" t="s">
        <v>103</v>
      </c>
      <c r="F663" s="318" t="s">
        <v>104</v>
      </c>
      <c r="G663" s="318" t="s">
        <v>105</v>
      </c>
      <c r="H663" s="318" t="s">
        <v>106</v>
      </c>
      <c r="I663" s="318" t="s">
        <v>108</v>
      </c>
      <c r="J663" s="319" t="s">
        <v>268</v>
      </c>
      <c r="K663" s="26" t="s">
        <v>119</v>
      </c>
      <c r="L663" s="26"/>
      <c r="M663" s="26"/>
      <c r="N663" s="26"/>
      <c r="O663" s="26"/>
      <c r="P663" s="26"/>
      <c r="Q663" s="26"/>
      <c r="R663" s="27"/>
    </row>
    <row r="664" spans="2:18" x14ac:dyDescent="0.25">
      <c r="B664" s="32"/>
      <c r="C664" s="272" t="s">
        <v>458</v>
      </c>
      <c r="D664" s="194">
        <f>IF(AND(ISNUMBER(D350),ISNUMBER(D342),ISNUMBER(D336)),D350/(D342+D336),"SIN DATOS")</f>
        <v>5.8660453825206726</v>
      </c>
      <c r="E664" s="195">
        <f>IF(AND(ISNUMBER(E350),ISNUMBER(E342),ISNUMBER(E336)),E350/(E342+E336),"SIN DATOS")</f>
        <v>7.9397025532976562</v>
      </c>
      <c r="F664" s="195">
        <f>IF(AND(ISNUMBER(F350),ISNUMBER(F342),ISNUMBER(F336)),F350/(F342+F336),"SIN DATOS")</f>
        <v>11.860714201358668</v>
      </c>
      <c r="G664" s="195">
        <f>IF(AND(ISNUMBER(G350),ISNUMBER(G342),ISNUMBER(G336)),G350/(G342+G336),"SIN DATOS")</f>
        <v>25.402760864291025</v>
      </c>
      <c r="H664" s="195" t="e">
        <f>IF(AND(ISNUMBER(H350),ISNUMBER(H342),ISNUMBER(H336)),H350/(H342+H336),"SIN DATOS")</f>
        <v>#DIV/0!</v>
      </c>
      <c r="I664" s="198" t="str">
        <f>IF(AND(ISNUMBER(D664),ISNUMBER(E664),ISNUMBER(F664),ISNUMBER(G664),ISNUMBER(H664)),TREND(D664:H664,D$304:H$304,I$304),"SIN DATOS")</f>
        <v>SIN DATOS</v>
      </c>
      <c r="J664" s="177"/>
      <c r="K664" s="167"/>
      <c r="L664" s="26"/>
      <c r="M664" s="26"/>
      <c r="N664" s="26"/>
      <c r="O664" s="26"/>
      <c r="P664" s="26"/>
      <c r="Q664" s="26"/>
      <c r="R664" s="27"/>
    </row>
    <row r="665" spans="2:18" ht="16.5" thickBot="1" x14ac:dyDescent="0.3">
      <c r="B665" s="32"/>
      <c r="C665" s="186" t="s">
        <v>118</v>
      </c>
      <c r="D665" s="196">
        <f>Sector!F107/(Sector!F126+Sector!F118)</f>
        <v>1.6643702907746012</v>
      </c>
      <c r="E665" s="197">
        <f>Sector!G107/(Sector!G126+Sector!G118)</f>
        <v>1.6206191052005516</v>
      </c>
      <c r="F665" s="197">
        <f>Sector!H107/(Sector!H126+Sector!H118)</f>
        <v>1.56311446406175</v>
      </c>
      <c r="G665" s="197">
        <f>Sector!I107/(Sector!I126+Sector!I118)</f>
        <v>1.5502189923765242</v>
      </c>
      <c r="H665" s="197">
        <f>Sector!J107/(Sector!J126+Sector!J118)</f>
        <v>1.6477576445625937</v>
      </c>
      <c r="I665" s="199">
        <f>IF(AND(ISNUMBER(D665),ISNUMBER(E665),ISNUMBER(F665),ISNUMBER(G665),ISNUMBER(H665)),TREND(D665:H665,D$304:H$304,I$304),"SIN DATOS")</f>
        <v>1.5781284778207911</v>
      </c>
      <c r="J665" s="176"/>
      <c r="K665" s="167"/>
      <c r="L665" s="26"/>
      <c r="M665" s="26"/>
      <c r="N665" s="26"/>
      <c r="O665" s="26"/>
      <c r="P665" s="26"/>
      <c r="Q665" s="26"/>
      <c r="R665" s="27"/>
    </row>
    <row r="666" spans="2:18" thickBot="1" x14ac:dyDescent="0.3">
      <c r="B666" s="32"/>
      <c r="C666" s="178" t="s">
        <v>457</v>
      </c>
      <c r="D666" s="179" t="str">
        <f t="shared" ref="D666:I666" si="66">IF(D664&gt;=D665,IF(D664=D665,"═","▲"),"▼")</f>
        <v>▲</v>
      </c>
      <c r="E666" s="180" t="str">
        <f t="shared" si="66"/>
        <v>▲</v>
      </c>
      <c r="F666" s="180" t="str">
        <f t="shared" si="66"/>
        <v>▲</v>
      </c>
      <c r="G666" s="180" t="str">
        <f t="shared" si="66"/>
        <v>▲</v>
      </c>
      <c r="H666" s="180" t="e">
        <f t="shared" si="66"/>
        <v>#DIV/0!</v>
      </c>
      <c r="I666" s="181" t="str">
        <f t="shared" si="66"/>
        <v>▲</v>
      </c>
      <c r="J666" s="26"/>
      <c r="K666" s="167"/>
      <c r="L666" s="26"/>
      <c r="M666" s="26"/>
      <c r="N666" s="26"/>
      <c r="O666" s="26"/>
      <c r="P666" s="26"/>
      <c r="Q666" s="26"/>
      <c r="R666" s="27"/>
    </row>
    <row r="667" spans="2:18" ht="15" x14ac:dyDescent="0.25">
      <c r="B667" s="32"/>
      <c r="C667" s="167"/>
      <c r="D667" s="167"/>
      <c r="E667" s="167"/>
      <c r="F667" s="167"/>
      <c r="G667" s="167"/>
      <c r="H667" s="167"/>
      <c r="I667" s="167"/>
      <c r="J667" s="26"/>
      <c r="K667" s="167"/>
      <c r="L667" s="26"/>
      <c r="M667" s="26"/>
      <c r="N667" s="26"/>
      <c r="O667" s="26"/>
      <c r="P667" s="26"/>
      <c r="Q667" s="26"/>
      <c r="R667" s="27"/>
    </row>
    <row r="668" spans="2:18" ht="15" x14ac:dyDescent="0.25">
      <c r="B668" s="32"/>
      <c r="C668" s="167"/>
      <c r="D668" s="167"/>
      <c r="E668" s="167"/>
      <c r="F668" s="167"/>
      <c r="G668" s="167"/>
      <c r="H668" s="167"/>
      <c r="I668" s="167"/>
      <c r="J668" s="26"/>
      <c r="K668" s="167"/>
      <c r="L668" s="26"/>
      <c r="M668" s="26"/>
      <c r="N668" s="26"/>
      <c r="O668" s="26"/>
      <c r="P668" s="26"/>
      <c r="Q668" s="26"/>
      <c r="R668" s="27"/>
    </row>
    <row r="669" spans="2:18" ht="15" x14ac:dyDescent="0.25">
      <c r="B669" s="32"/>
      <c r="C669" s="167"/>
      <c r="D669" s="167"/>
      <c r="E669" s="167"/>
      <c r="F669" s="167"/>
      <c r="G669" s="167"/>
      <c r="H669" s="167"/>
      <c r="I669" s="167"/>
      <c r="J669" s="26"/>
      <c r="K669" s="167"/>
      <c r="L669" s="26"/>
      <c r="M669" s="26"/>
      <c r="N669" s="26"/>
      <c r="O669" s="26"/>
      <c r="P669" s="26"/>
      <c r="Q669" s="26"/>
      <c r="R669" s="27"/>
    </row>
    <row r="670" spans="2:18" ht="15" x14ac:dyDescent="0.25">
      <c r="B670" s="32"/>
      <c r="C670" s="167"/>
      <c r="D670" s="167"/>
      <c r="E670" s="167"/>
      <c r="F670" s="167"/>
      <c r="G670" s="167"/>
      <c r="H670" s="167"/>
      <c r="I670" s="167"/>
      <c r="J670" s="26"/>
      <c r="K670" s="167"/>
      <c r="L670" s="26"/>
      <c r="M670" s="26"/>
      <c r="N670" s="26"/>
      <c r="O670" s="26"/>
      <c r="P670" s="26"/>
      <c r="Q670" s="26"/>
      <c r="R670" s="27"/>
    </row>
    <row r="671" spans="2:18" ht="15" x14ac:dyDescent="0.25">
      <c r="B671" s="32"/>
      <c r="C671" s="167"/>
      <c r="D671" s="167"/>
      <c r="E671" s="167"/>
      <c r="F671" s="167"/>
      <c r="G671" s="167"/>
      <c r="H671" s="167"/>
      <c r="I671" s="167"/>
      <c r="J671" s="26"/>
      <c r="K671" s="167"/>
      <c r="L671" s="26"/>
      <c r="M671" s="26"/>
      <c r="N671" s="26"/>
      <c r="O671" s="26"/>
      <c r="P671" s="26"/>
      <c r="Q671" s="26"/>
      <c r="R671" s="27"/>
    </row>
    <row r="672" spans="2:18" ht="15" x14ac:dyDescent="0.25">
      <c r="B672" s="32"/>
      <c r="C672" s="167"/>
      <c r="D672" s="167"/>
      <c r="E672" s="167"/>
      <c r="F672" s="167"/>
      <c r="G672" s="167"/>
      <c r="H672" s="167"/>
      <c r="I672" s="167"/>
      <c r="J672" s="26"/>
      <c r="K672" s="167"/>
      <c r="L672" s="26"/>
      <c r="M672" s="26"/>
      <c r="N672" s="26"/>
      <c r="O672" s="26"/>
      <c r="P672" s="26"/>
      <c r="Q672" s="26"/>
      <c r="R672" s="27"/>
    </row>
    <row r="673" spans="2:18" ht="15" x14ac:dyDescent="0.25">
      <c r="B673" s="32"/>
      <c r="C673" s="167"/>
      <c r="D673" s="167"/>
      <c r="E673" s="167"/>
      <c r="F673" s="167"/>
      <c r="G673" s="167"/>
      <c r="H673" s="167"/>
      <c r="I673" s="167"/>
      <c r="J673" s="26"/>
      <c r="K673" s="167"/>
      <c r="L673" s="26"/>
      <c r="M673" s="26"/>
      <c r="N673" s="26"/>
      <c r="O673" s="26"/>
      <c r="P673" s="26"/>
      <c r="Q673" s="26"/>
      <c r="R673" s="27"/>
    </row>
    <row r="674" spans="2:18" ht="15" x14ac:dyDescent="0.25">
      <c r="B674" s="32"/>
      <c r="C674" s="167"/>
      <c r="D674" s="167"/>
      <c r="E674" s="167"/>
      <c r="F674" s="167"/>
      <c r="G674" s="167"/>
      <c r="H674" s="167"/>
      <c r="I674" s="167"/>
      <c r="J674" s="26"/>
      <c r="K674" s="167"/>
      <c r="L674" s="26"/>
      <c r="M674" s="26"/>
      <c r="N674" s="26"/>
      <c r="O674" s="26"/>
      <c r="P674" s="26"/>
      <c r="Q674" s="26"/>
      <c r="R674" s="27"/>
    </row>
    <row r="675" spans="2:18" ht="15" x14ac:dyDescent="0.25">
      <c r="B675" s="32"/>
      <c r="C675" s="167"/>
      <c r="D675" s="167"/>
      <c r="E675" s="167"/>
      <c r="F675" s="167"/>
      <c r="G675" s="167"/>
      <c r="H675" s="167"/>
      <c r="I675" s="167"/>
      <c r="J675" s="26"/>
      <c r="K675" s="167"/>
      <c r="L675" s="26"/>
      <c r="M675" s="26"/>
      <c r="N675" s="26"/>
      <c r="O675" s="26"/>
      <c r="P675" s="26"/>
      <c r="Q675" s="26"/>
      <c r="R675" s="27"/>
    </row>
    <row r="676" spans="2:18" ht="15" x14ac:dyDescent="0.25">
      <c r="B676" s="32"/>
      <c r="C676" s="167"/>
      <c r="D676" s="167"/>
      <c r="E676" s="167"/>
      <c r="F676" s="167"/>
      <c r="G676" s="167"/>
      <c r="H676" s="167"/>
      <c r="I676" s="167"/>
      <c r="J676" s="26"/>
      <c r="K676" s="167"/>
      <c r="L676" s="26"/>
      <c r="M676" s="26"/>
      <c r="N676" s="26"/>
      <c r="O676" s="26"/>
      <c r="P676" s="26"/>
      <c r="Q676" s="26"/>
      <c r="R676" s="27"/>
    </row>
    <row r="677" spans="2:18" ht="15" x14ac:dyDescent="0.25">
      <c r="B677" s="32"/>
      <c r="C677" s="167"/>
      <c r="D677" s="167"/>
      <c r="E677" s="167"/>
      <c r="F677" s="167"/>
      <c r="G677" s="167"/>
      <c r="H677" s="167"/>
      <c r="I677" s="167"/>
      <c r="J677" s="26"/>
      <c r="K677" s="167"/>
      <c r="L677" s="26"/>
      <c r="M677" s="26"/>
      <c r="N677" s="26"/>
      <c r="O677" s="26"/>
      <c r="P677" s="26"/>
      <c r="Q677" s="26"/>
      <c r="R677" s="27"/>
    </row>
    <row r="678" spans="2:18" ht="15" x14ac:dyDescent="0.25">
      <c r="B678" s="32"/>
      <c r="C678" s="167"/>
      <c r="D678" s="167"/>
      <c r="E678" s="167"/>
      <c r="F678" s="167"/>
      <c r="G678" s="167"/>
      <c r="H678" s="167"/>
      <c r="I678" s="167"/>
      <c r="J678" s="26"/>
      <c r="K678" s="167"/>
      <c r="L678" s="26"/>
      <c r="M678" s="26"/>
      <c r="N678" s="26"/>
      <c r="O678" s="26"/>
      <c r="P678" s="26"/>
      <c r="Q678" s="26"/>
      <c r="R678" s="27"/>
    </row>
    <row r="679" spans="2:18" ht="15" x14ac:dyDescent="0.25">
      <c r="B679" s="32"/>
      <c r="C679" s="167"/>
      <c r="D679" s="167"/>
      <c r="E679" s="167"/>
      <c r="F679" s="167"/>
      <c r="G679" s="167"/>
      <c r="H679" s="167"/>
      <c r="I679" s="167"/>
      <c r="J679" s="26"/>
      <c r="K679" s="167"/>
      <c r="L679" s="26"/>
      <c r="M679" s="26"/>
      <c r="N679" s="26"/>
      <c r="O679" s="26"/>
      <c r="P679" s="26"/>
      <c r="Q679" s="26"/>
      <c r="R679" s="27"/>
    </row>
    <row r="680" spans="2:18" ht="15" x14ac:dyDescent="0.25">
      <c r="B680" s="32"/>
      <c r="C680" s="167"/>
      <c r="D680" s="167"/>
      <c r="E680" s="167"/>
      <c r="F680" s="167"/>
      <c r="G680" s="167"/>
      <c r="H680" s="167"/>
      <c r="I680" s="167"/>
      <c r="J680" s="26"/>
      <c r="K680" s="167"/>
      <c r="L680" s="26"/>
      <c r="M680" s="26"/>
      <c r="N680" s="26"/>
      <c r="O680" s="26"/>
      <c r="P680" s="26"/>
      <c r="Q680" s="26"/>
      <c r="R680" s="27"/>
    </row>
    <row r="681" spans="2:18" ht="15" x14ac:dyDescent="0.25">
      <c r="B681" s="32"/>
      <c r="C681" s="167"/>
      <c r="D681" s="167"/>
      <c r="E681" s="167"/>
      <c r="F681" s="167"/>
      <c r="G681" s="167"/>
      <c r="H681" s="167"/>
      <c r="I681" s="167"/>
      <c r="J681" s="26"/>
      <c r="K681" s="167"/>
      <c r="L681" s="26"/>
      <c r="M681" s="26"/>
      <c r="N681" s="26"/>
      <c r="O681" s="26"/>
      <c r="P681" s="26"/>
      <c r="Q681" s="26"/>
      <c r="R681" s="27"/>
    </row>
    <row r="682" spans="2:18" ht="15" x14ac:dyDescent="0.25">
      <c r="B682" s="32"/>
      <c r="C682" s="167"/>
      <c r="D682" s="167"/>
      <c r="E682" s="167"/>
      <c r="F682" s="167"/>
      <c r="G682" s="167"/>
      <c r="H682" s="167"/>
      <c r="I682" s="167"/>
      <c r="J682" s="26"/>
      <c r="K682" s="167"/>
      <c r="L682" s="26"/>
      <c r="M682" s="26"/>
      <c r="N682" s="26"/>
      <c r="O682" s="26"/>
      <c r="P682" s="26"/>
      <c r="Q682" s="26"/>
      <c r="R682" s="27"/>
    </row>
    <row r="683" spans="2:18" ht="15" x14ac:dyDescent="0.25">
      <c r="B683" s="32"/>
      <c r="C683" s="167"/>
      <c r="D683" s="167"/>
      <c r="E683" s="167"/>
      <c r="F683" s="167"/>
      <c r="G683" s="167"/>
      <c r="H683" s="167"/>
      <c r="I683" s="167"/>
      <c r="J683" s="26"/>
      <c r="K683" s="167"/>
      <c r="L683" s="26"/>
      <c r="M683" s="26"/>
      <c r="N683" s="26"/>
      <c r="O683" s="26"/>
      <c r="P683" s="26"/>
      <c r="Q683" s="26"/>
      <c r="R683" s="27"/>
    </row>
    <row r="684" spans="2:18" ht="15" x14ac:dyDescent="0.25">
      <c r="B684" s="32"/>
      <c r="C684" s="167"/>
      <c r="D684" s="167"/>
      <c r="E684" s="167"/>
      <c r="F684" s="167"/>
      <c r="G684" s="167"/>
      <c r="H684" s="167"/>
      <c r="I684" s="167"/>
      <c r="J684" s="26"/>
      <c r="K684" s="167"/>
      <c r="L684" s="26"/>
      <c r="M684" s="26"/>
      <c r="N684" s="26"/>
      <c r="O684" s="26"/>
      <c r="P684" s="26"/>
      <c r="Q684" s="26"/>
      <c r="R684" s="27"/>
    </row>
    <row r="685" spans="2:18" ht="15" x14ac:dyDescent="0.25">
      <c r="B685" s="32"/>
      <c r="C685" s="167"/>
      <c r="D685" s="167"/>
      <c r="E685" s="167"/>
      <c r="F685" s="167"/>
      <c r="G685" s="167"/>
      <c r="H685" s="167"/>
      <c r="I685" s="167"/>
      <c r="J685" s="26"/>
      <c r="K685" s="167"/>
      <c r="L685" s="26"/>
      <c r="M685" s="26"/>
      <c r="N685" s="26"/>
      <c r="O685" s="26"/>
      <c r="P685" s="26"/>
      <c r="Q685" s="26"/>
      <c r="R685" s="27"/>
    </row>
    <row r="686" spans="2:18" ht="16.5" thickBot="1" x14ac:dyDescent="0.3">
      <c r="B686" s="32"/>
      <c r="C686" s="24"/>
      <c r="D686" s="25"/>
      <c r="E686" s="26"/>
      <c r="F686" s="26"/>
      <c r="G686" s="26"/>
      <c r="H686" s="26"/>
      <c r="I686" s="26"/>
      <c r="J686" s="26"/>
      <c r="K686" s="26"/>
      <c r="L686" s="26"/>
      <c r="M686" s="26"/>
      <c r="N686" s="26"/>
      <c r="O686" s="26"/>
      <c r="P686" s="26"/>
      <c r="Q686" s="26"/>
      <c r="R686" s="27"/>
    </row>
    <row r="687" spans="2:18" ht="19.5" thickBot="1" x14ac:dyDescent="0.35">
      <c r="B687" s="32"/>
      <c r="C687" s="302" t="s">
        <v>51</v>
      </c>
      <c r="D687" s="317" t="s">
        <v>7</v>
      </c>
      <c r="E687" s="318" t="s">
        <v>103</v>
      </c>
      <c r="F687" s="318" t="s">
        <v>104</v>
      </c>
      <c r="G687" s="318" t="s">
        <v>105</v>
      </c>
      <c r="H687" s="318" t="s">
        <v>106</v>
      </c>
      <c r="I687" s="318" t="s">
        <v>108</v>
      </c>
      <c r="J687" s="319" t="s">
        <v>268</v>
      </c>
      <c r="K687" s="26" t="s">
        <v>74</v>
      </c>
      <c r="L687" s="26"/>
      <c r="M687" s="26"/>
      <c r="N687" s="26"/>
      <c r="O687" s="26"/>
      <c r="P687" s="26"/>
      <c r="Q687" s="26"/>
      <c r="R687" s="27"/>
    </row>
    <row r="688" spans="2:18" x14ac:dyDescent="0.25">
      <c r="B688" s="32"/>
      <c r="C688" s="272" t="s">
        <v>458</v>
      </c>
      <c r="D688" s="293">
        <f>IF(AND(ISNUMBER(D366),ISNUMBER(D353)),D366/D353,"SIN DATOS")</f>
        <v>1.3554876996782182E-3</v>
      </c>
      <c r="E688" s="294">
        <f>IF(AND(ISNUMBER(E366),ISNUMBER(E353)),E366/E353,"SIN DATOS")</f>
        <v>1.0559834897084567E-3</v>
      </c>
      <c r="F688" s="294">
        <f>IF(AND(ISNUMBER(F366),ISNUMBER(F353)),F366/F353,"SIN DATOS")</f>
        <v>7.4278266050519599E-4</v>
      </c>
      <c r="G688" s="294">
        <f>IF(AND(ISNUMBER(G366),ISNUMBER(G353)),G366/G353,"SIN DATOS")</f>
        <v>4.3331839429692326E-4</v>
      </c>
      <c r="H688" s="294">
        <f>IF(AND(ISNUMBER(H366),ISNUMBER(H353)),H366/H353,"SIN DATOS")</f>
        <v>1.4214312117952582E-4</v>
      </c>
      <c r="I688" s="295">
        <f>IF(AND(ISNUMBER(D688),ISNUMBER(E688),ISNUMBER(F688),ISNUMBER(G688),ISNUMBER(H688)),TREND(D688:H688,D$304:H$304,I$304),"SIN DATOS")</f>
        <v>-1.6886320264901172E-4</v>
      </c>
      <c r="J688" s="177"/>
      <c r="K688" s="167"/>
      <c r="L688" s="26"/>
      <c r="M688" s="26"/>
      <c r="N688" s="26"/>
      <c r="O688" s="26"/>
      <c r="P688" s="26"/>
      <c r="Q688" s="26"/>
      <c r="R688" s="27"/>
    </row>
    <row r="689" spans="2:18" ht="16.5" thickBot="1" x14ac:dyDescent="0.3">
      <c r="B689" s="32"/>
      <c r="C689" s="186" t="s">
        <v>118</v>
      </c>
      <c r="D689" s="296">
        <f>Sector!F51/Sector!F10</f>
        <v>5.1312157734891475E-3</v>
      </c>
      <c r="E689" s="297">
        <f>Sector!G51/Sector!G10</f>
        <v>6.8183155110293891E-3</v>
      </c>
      <c r="F689" s="297">
        <f>Sector!H51/Sector!H10</f>
        <v>8.6652276101485976E-3</v>
      </c>
      <c r="G689" s="297">
        <f>Sector!I51/Sector!I10</f>
        <v>1.2523185535876322E-2</v>
      </c>
      <c r="H689" s="297">
        <f>Sector!J51/Sector!J10</f>
        <v>9.8431839465858758E-3</v>
      </c>
      <c r="I689" s="298">
        <f>IF(AND(ISNUMBER(D689),ISNUMBER(E689),ISNUMBER(F689),ISNUMBER(G689),ISNUMBER(H689)),TREND(D689:H689,D$304:H$304,I$304),"SIN DATOS")</f>
        <v>1.3134867586737983E-2</v>
      </c>
      <c r="J689" s="176"/>
      <c r="K689" s="167"/>
      <c r="L689" s="26"/>
      <c r="M689" s="26"/>
      <c r="N689" s="26"/>
      <c r="O689" s="26"/>
      <c r="P689" s="26"/>
      <c r="Q689" s="26"/>
      <c r="R689" s="27"/>
    </row>
    <row r="690" spans="2:18" thickBot="1" x14ac:dyDescent="0.3">
      <c r="B690" s="32"/>
      <c r="C690" s="178" t="s">
        <v>457</v>
      </c>
      <c r="D690" s="179" t="str">
        <f t="shared" ref="D690:I690" si="67">IF(D688&lt;=D689,IF(D688=D689,"═","▲"),"▼")</f>
        <v>▲</v>
      </c>
      <c r="E690" s="180" t="str">
        <f t="shared" si="67"/>
        <v>▲</v>
      </c>
      <c r="F690" s="180" t="str">
        <f t="shared" si="67"/>
        <v>▲</v>
      </c>
      <c r="G690" s="180" t="str">
        <f t="shared" si="67"/>
        <v>▲</v>
      </c>
      <c r="H690" s="180" t="str">
        <f t="shared" si="67"/>
        <v>▲</v>
      </c>
      <c r="I690" s="181" t="str">
        <f t="shared" si="67"/>
        <v>▲</v>
      </c>
      <c r="J690" s="26"/>
      <c r="K690" s="167"/>
      <c r="L690" s="26"/>
      <c r="M690" s="26"/>
      <c r="N690" s="26"/>
      <c r="O690" s="26"/>
      <c r="P690" s="26"/>
      <c r="Q690" s="26"/>
      <c r="R690" s="27"/>
    </row>
    <row r="691" spans="2:18" x14ac:dyDescent="0.25">
      <c r="B691" s="32"/>
      <c r="C691" s="24"/>
      <c r="D691" s="25"/>
      <c r="E691" s="26"/>
      <c r="F691" s="26"/>
      <c r="G691" s="26"/>
      <c r="H691" s="26"/>
      <c r="I691" s="26"/>
      <c r="J691" s="26"/>
      <c r="K691" s="26"/>
      <c r="L691" s="26"/>
      <c r="M691" s="26"/>
      <c r="N691" s="26"/>
      <c r="O691" s="26"/>
      <c r="P691" s="26"/>
      <c r="Q691" s="26"/>
      <c r="R691" s="27"/>
    </row>
    <row r="692" spans="2:18" x14ac:dyDescent="0.25">
      <c r="B692" s="32"/>
      <c r="C692" s="24"/>
      <c r="D692" s="25"/>
      <c r="E692" s="26"/>
      <c r="F692" s="26"/>
      <c r="G692" s="26"/>
      <c r="H692" s="26"/>
      <c r="I692" s="26"/>
      <c r="J692" s="26"/>
      <c r="K692" s="26"/>
      <c r="L692" s="26"/>
      <c r="M692" s="26"/>
      <c r="N692" s="26"/>
      <c r="O692" s="26"/>
      <c r="P692" s="26"/>
      <c r="Q692" s="26"/>
      <c r="R692" s="27"/>
    </row>
    <row r="693" spans="2:18" x14ac:dyDescent="0.25">
      <c r="B693" s="32"/>
      <c r="C693" s="24"/>
      <c r="D693" s="25"/>
      <c r="E693" s="26"/>
      <c r="F693" s="26"/>
      <c r="G693" s="26"/>
      <c r="H693" s="26"/>
      <c r="I693" s="26"/>
      <c r="J693" s="26"/>
      <c r="K693" s="26"/>
      <c r="L693" s="26"/>
      <c r="M693" s="26"/>
      <c r="N693" s="26"/>
      <c r="O693" s="26"/>
      <c r="P693" s="26"/>
      <c r="Q693" s="26"/>
      <c r="R693" s="27"/>
    </row>
    <row r="694" spans="2:18" x14ac:dyDescent="0.25">
      <c r="B694" s="32"/>
      <c r="C694" s="24"/>
      <c r="D694" s="25"/>
      <c r="E694" s="26"/>
      <c r="F694" s="26"/>
      <c r="G694" s="26"/>
      <c r="H694" s="26"/>
      <c r="I694" s="26"/>
      <c r="J694" s="26"/>
      <c r="K694" s="26"/>
      <c r="L694" s="26"/>
      <c r="M694" s="26"/>
      <c r="N694" s="26"/>
      <c r="O694" s="26"/>
      <c r="P694" s="26"/>
      <c r="Q694" s="26"/>
      <c r="R694" s="27"/>
    </row>
    <row r="695" spans="2:18" x14ac:dyDescent="0.25">
      <c r="B695" s="32"/>
      <c r="C695" s="24"/>
      <c r="D695" s="25"/>
      <c r="E695" s="26"/>
      <c r="F695" s="26"/>
      <c r="G695" s="26"/>
      <c r="H695" s="26"/>
      <c r="I695" s="26"/>
      <c r="J695" s="26"/>
      <c r="K695" s="26"/>
      <c r="L695" s="26"/>
      <c r="M695" s="26"/>
      <c r="N695" s="26"/>
      <c r="O695" s="26"/>
      <c r="P695" s="26"/>
      <c r="Q695" s="26"/>
      <c r="R695" s="27"/>
    </row>
    <row r="696" spans="2:18" x14ac:dyDescent="0.25">
      <c r="B696" s="32"/>
      <c r="C696" s="24"/>
      <c r="D696" s="25"/>
      <c r="E696" s="26"/>
      <c r="F696" s="26"/>
      <c r="G696" s="26"/>
      <c r="H696" s="26"/>
      <c r="I696" s="26"/>
      <c r="J696" s="26"/>
      <c r="K696" s="26"/>
      <c r="L696" s="26"/>
      <c r="M696" s="26"/>
      <c r="N696" s="26"/>
      <c r="O696" s="26"/>
      <c r="P696" s="26"/>
      <c r="Q696" s="26"/>
      <c r="R696" s="27"/>
    </row>
    <row r="697" spans="2:18" x14ac:dyDescent="0.25">
      <c r="B697" s="32"/>
      <c r="C697" s="24"/>
      <c r="D697" s="25"/>
      <c r="E697" s="26"/>
      <c r="F697" s="26"/>
      <c r="G697" s="26"/>
      <c r="H697" s="26"/>
      <c r="I697" s="26"/>
      <c r="J697" s="26"/>
      <c r="K697" s="26"/>
      <c r="L697" s="26"/>
      <c r="M697" s="26"/>
      <c r="N697" s="26"/>
      <c r="O697" s="26"/>
      <c r="P697" s="26"/>
      <c r="Q697" s="26"/>
      <c r="R697" s="27"/>
    </row>
    <row r="698" spans="2:18" x14ac:dyDescent="0.25">
      <c r="B698" s="32"/>
      <c r="C698" s="24"/>
      <c r="D698" s="25"/>
      <c r="E698" s="26"/>
      <c r="F698" s="26"/>
      <c r="G698" s="26"/>
      <c r="H698" s="26"/>
      <c r="I698" s="26"/>
      <c r="J698" s="26"/>
      <c r="K698" s="26"/>
      <c r="L698" s="26"/>
      <c r="M698" s="26"/>
      <c r="N698" s="26"/>
      <c r="O698" s="26"/>
      <c r="P698" s="26"/>
      <c r="Q698" s="26"/>
      <c r="R698" s="27"/>
    </row>
    <row r="699" spans="2:18" x14ac:dyDescent="0.25">
      <c r="B699" s="32"/>
      <c r="C699" s="24"/>
      <c r="D699" s="25"/>
      <c r="E699" s="26"/>
      <c r="F699" s="26"/>
      <c r="G699" s="26"/>
      <c r="H699" s="26"/>
      <c r="I699" s="26"/>
      <c r="J699" s="26"/>
      <c r="K699" s="26"/>
      <c r="L699" s="26"/>
      <c r="M699" s="26"/>
      <c r="N699" s="26"/>
      <c r="O699" s="26"/>
      <c r="P699" s="26"/>
      <c r="Q699" s="26"/>
      <c r="R699" s="27"/>
    </row>
    <row r="700" spans="2:18" x14ac:dyDescent="0.25">
      <c r="B700" s="32"/>
      <c r="C700" s="24"/>
      <c r="D700" s="25"/>
      <c r="E700" s="26"/>
      <c r="F700" s="26"/>
      <c r="G700" s="26"/>
      <c r="H700" s="26"/>
      <c r="I700" s="26"/>
      <c r="J700" s="26"/>
      <c r="K700" s="26"/>
      <c r="L700" s="26"/>
      <c r="M700" s="26"/>
      <c r="N700" s="26"/>
      <c r="O700" s="26"/>
      <c r="P700" s="26"/>
      <c r="Q700" s="26"/>
      <c r="R700" s="27"/>
    </row>
    <row r="701" spans="2:18" x14ac:dyDescent="0.25">
      <c r="B701" s="32"/>
      <c r="C701" s="24"/>
      <c r="D701" s="25"/>
      <c r="E701" s="26"/>
      <c r="F701" s="26"/>
      <c r="G701" s="26"/>
      <c r="H701" s="26"/>
      <c r="I701" s="26"/>
      <c r="J701" s="26"/>
      <c r="K701" s="26"/>
      <c r="L701" s="26"/>
      <c r="M701" s="26"/>
      <c r="N701" s="26"/>
      <c r="O701" s="26"/>
      <c r="P701" s="26"/>
      <c r="Q701" s="26"/>
      <c r="R701" s="27"/>
    </row>
    <row r="702" spans="2:18" x14ac:dyDescent="0.25">
      <c r="B702" s="32"/>
      <c r="C702" s="24"/>
      <c r="D702" s="25"/>
      <c r="E702" s="26"/>
      <c r="F702" s="26"/>
      <c r="G702" s="26"/>
      <c r="H702" s="26"/>
      <c r="I702" s="26"/>
      <c r="J702" s="26"/>
      <c r="K702" s="26"/>
      <c r="L702" s="26"/>
      <c r="M702" s="26"/>
      <c r="N702" s="26"/>
      <c r="O702" s="26"/>
      <c r="P702" s="26"/>
      <c r="Q702" s="26"/>
      <c r="R702" s="27"/>
    </row>
    <row r="703" spans="2:18" x14ac:dyDescent="0.25">
      <c r="B703" s="32"/>
      <c r="C703" s="24"/>
      <c r="D703" s="25"/>
      <c r="E703" s="26"/>
      <c r="F703" s="26"/>
      <c r="G703" s="26"/>
      <c r="H703" s="26"/>
      <c r="I703" s="26"/>
      <c r="J703" s="26"/>
      <c r="K703" s="26"/>
      <c r="L703" s="26"/>
      <c r="M703" s="26"/>
      <c r="N703" s="26"/>
      <c r="O703" s="26"/>
      <c r="P703" s="26"/>
      <c r="Q703" s="26"/>
      <c r="R703" s="27"/>
    </row>
    <row r="704" spans="2:18" s="65" customFormat="1" ht="16.5" thickBot="1" x14ac:dyDescent="0.3">
      <c r="B704" s="69"/>
      <c r="C704" s="123"/>
      <c r="D704" s="72"/>
      <c r="E704" s="72"/>
      <c r="F704" s="72"/>
      <c r="G704" s="142"/>
      <c r="H704" s="72"/>
      <c r="I704" s="72"/>
      <c r="J704" s="72"/>
      <c r="K704" s="72"/>
      <c r="L704" s="72"/>
      <c r="M704" s="72"/>
      <c r="N704" s="72"/>
      <c r="O704" s="72"/>
      <c r="P704" s="72"/>
      <c r="Q704" s="72"/>
      <c r="R704" s="79"/>
    </row>
    <row r="705" spans="2:18" ht="16.5" thickBot="1" x14ac:dyDescent="0.3">
      <c r="B705" s="131"/>
      <c r="C705" s="10"/>
      <c r="D705" s="9"/>
      <c r="E705" s="8"/>
      <c r="G705" s="9"/>
    </row>
    <row r="706" spans="2:18" ht="21.75" thickBot="1" x14ac:dyDescent="0.4">
      <c r="B706" s="200" t="s">
        <v>733</v>
      </c>
      <c r="C706" s="20"/>
      <c r="D706" s="36"/>
      <c r="E706" s="22"/>
      <c r="F706" s="22"/>
      <c r="G706" s="22"/>
      <c r="H706" s="22"/>
      <c r="I706" s="22"/>
      <c r="J706" s="22"/>
      <c r="K706" s="22"/>
      <c r="L706" s="22"/>
      <c r="M706" s="22"/>
      <c r="N706" s="22"/>
      <c r="O706" s="22"/>
      <c r="P706" s="22"/>
      <c r="Q706" s="22"/>
      <c r="R706" s="23"/>
    </row>
    <row r="707" spans="2:18" x14ac:dyDescent="0.25">
      <c r="B707" s="32"/>
      <c r="C707" s="24"/>
      <c r="D707" s="25"/>
      <c r="E707" s="26"/>
      <c r="F707" s="26"/>
      <c r="G707" s="26"/>
      <c r="H707" s="26"/>
      <c r="I707" s="26"/>
      <c r="J707" s="26"/>
      <c r="K707" s="26"/>
      <c r="L707" s="26"/>
      <c r="M707" s="26"/>
      <c r="N707" s="26"/>
      <c r="O707" s="26"/>
      <c r="P707" s="26"/>
      <c r="Q707" s="26"/>
      <c r="R707" s="27"/>
    </row>
    <row r="708" spans="2:18" x14ac:dyDescent="0.25">
      <c r="B708" s="32"/>
      <c r="C708" s="24"/>
      <c r="D708" s="25"/>
      <c r="E708" s="26"/>
      <c r="F708" s="26"/>
      <c r="G708" s="26"/>
      <c r="H708" s="26"/>
      <c r="I708" s="26"/>
      <c r="J708" s="26"/>
      <c r="K708" s="26"/>
      <c r="L708" s="26"/>
      <c r="M708" s="26"/>
      <c r="N708" s="26"/>
      <c r="O708" s="26"/>
      <c r="P708" s="26"/>
      <c r="Q708" s="26"/>
      <c r="R708" s="27"/>
    </row>
    <row r="709" spans="2:18" x14ac:dyDescent="0.25">
      <c r="B709" s="32"/>
      <c r="C709" s="24"/>
      <c r="D709" s="25"/>
      <c r="E709" s="26"/>
      <c r="F709" s="26"/>
      <c r="G709" s="26"/>
      <c r="H709" s="26"/>
      <c r="I709" s="26"/>
      <c r="J709" s="26"/>
      <c r="K709" s="26"/>
      <c r="L709" s="26"/>
      <c r="M709" s="26"/>
      <c r="N709" s="26"/>
      <c r="O709" s="26"/>
      <c r="P709" s="26"/>
      <c r="Q709" s="26"/>
      <c r="R709" s="27"/>
    </row>
    <row r="710" spans="2:18" x14ac:dyDescent="0.25">
      <c r="B710" s="32"/>
      <c r="C710" s="24"/>
      <c r="D710" s="25"/>
      <c r="E710" s="26"/>
      <c r="F710" s="26"/>
      <c r="G710" s="26"/>
      <c r="H710" s="26"/>
      <c r="I710" s="26"/>
      <c r="J710" s="26"/>
      <c r="K710" s="26"/>
      <c r="L710" s="26"/>
      <c r="M710" s="26"/>
      <c r="N710" s="26"/>
      <c r="O710" s="26"/>
      <c r="P710" s="26"/>
      <c r="Q710" s="26"/>
      <c r="R710" s="27"/>
    </row>
    <row r="711" spans="2:18" x14ac:dyDescent="0.25">
      <c r="B711" s="32"/>
      <c r="C711" s="24"/>
      <c r="D711" s="25"/>
      <c r="E711" s="26"/>
      <c r="F711" s="26"/>
      <c r="G711" s="26"/>
      <c r="H711" s="26"/>
      <c r="I711" s="26"/>
      <c r="J711" s="26"/>
      <c r="K711" s="26"/>
      <c r="L711" s="26"/>
      <c r="M711" s="26"/>
      <c r="N711" s="26"/>
      <c r="O711" s="26"/>
      <c r="P711" s="26"/>
      <c r="Q711" s="26"/>
      <c r="R711" s="27"/>
    </row>
    <row r="712" spans="2:18" x14ac:dyDescent="0.25">
      <c r="B712" s="32"/>
      <c r="C712" s="24"/>
      <c r="D712" s="25"/>
      <c r="E712" s="26"/>
      <c r="F712" s="26"/>
      <c r="G712" s="26"/>
      <c r="H712" s="26"/>
      <c r="I712" s="26"/>
      <c r="J712" s="26"/>
      <c r="K712" s="26"/>
      <c r="L712" s="26"/>
      <c r="M712" s="26"/>
      <c r="N712" s="26"/>
      <c r="O712" s="26"/>
      <c r="P712" s="26"/>
      <c r="Q712" s="26"/>
      <c r="R712" s="27"/>
    </row>
    <row r="713" spans="2:18" x14ac:dyDescent="0.25">
      <c r="B713" s="32"/>
      <c r="C713" s="24"/>
      <c r="D713" s="25"/>
      <c r="E713" s="26"/>
      <c r="F713" s="26"/>
      <c r="G713" s="26"/>
      <c r="H713" s="26"/>
      <c r="I713" s="26"/>
      <c r="J713" s="26"/>
      <c r="K713" s="26"/>
      <c r="L713" s="26"/>
      <c r="M713" s="26"/>
      <c r="N713" s="26"/>
      <c r="O713" s="26"/>
      <c r="P713" s="26"/>
      <c r="Q713" s="26"/>
      <c r="R713" s="27"/>
    </row>
    <row r="714" spans="2:18" x14ac:dyDescent="0.25">
      <c r="B714" s="32"/>
      <c r="C714" s="24"/>
      <c r="D714" s="25"/>
      <c r="E714" s="26"/>
      <c r="F714" s="26"/>
      <c r="G714" s="26"/>
      <c r="H714" s="26"/>
      <c r="I714" s="26"/>
      <c r="J714" s="26"/>
      <c r="K714" s="26"/>
      <c r="L714" s="26"/>
      <c r="M714" s="26"/>
      <c r="N714" s="26"/>
      <c r="O714" s="26"/>
      <c r="P714" s="26"/>
      <c r="Q714" s="26"/>
      <c r="R714" s="27"/>
    </row>
    <row r="715" spans="2:18" x14ac:dyDescent="0.25">
      <c r="B715" s="32"/>
      <c r="C715" s="24"/>
      <c r="D715" s="25"/>
      <c r="E715" s="26"/>
      <c r="F715" s="26"/>
      <c r="G715" s="26"/>
      <c r="H715" s="26"/>
      <c r="I715" s="26"/>
      <c r="J715" s="26"/>
      <c r="K715" s="26"/>
      <c r="L715" s="26"/>
      <c r="M715" s="26"/>
      <c r="N715" s="26"/>
      <c r="O715" s="26"/>
      <c r="P715" s="26"/>
      <c r="Q715" s="26"/>
      <c r="R715" s="27"/>
    </row>
    <row r="716" spans="2:18" x14ac:dyDescent="0.25">
      <c r="B716" s="32"/>
      <c r="C716" s="24"/>
      <c r="D716" s="25"/>
      <c r="E716" s="26"/>
      <c r="F716" s="26"/>
      <c r="G716" s="26"/>
      <c r="H716" s="26"/>
      <c r="I716" s="26"/>
      <c r="J716" s="26"/>
      <c r="K716" s="26"/>
      <c r="L716" s="26"/>
      <c r="M716" s="26"/>
      <c r="N716" s="26"/>
      <c r="O716" s="26"/>
      <c r="P716" s="26"/>
      <c r="Q716" s="26"/>
      <c r="R716" s="27"/>
    </row>
    <row r="717" spans="2:18" x14ac:dyDescent="0.25">
      <c r="B717" s="32"/>
      <c r="C717" s="24"/>
      <c r="D717" s="25"/>
      <c r="E717" s="26"/>
      <c r="F717" s="26"/>
      <c r="G717" s="26"/>
      <c r="H717" s="26"/>
      <c r="I717" s="26"/>
      <c r="J717" s="26"/>
      <c r="K717" s="26"/>
      <c r="L717" s="26"/>
      <c r="M717" s="26"/>
      <c r="N717" s="26"/>
      <c r="O717" s="26"/>
      <c r="P717" s="26"/>
      <c r="Q717" s="26"/>
      <c r="R717" s="27"/>
    </row>
    <row r="718" spans="2:18" x14ac:dyDescent="0.25">
      <c r="B718" s="32"/>
      <c r="C718" s="24"/>
      <c r="D718" s="25"/>
      <c r="E718" s="26"/>
      <c r="F718" s="26"/>
      <c r="G718" s="26"/>
      <c r="H718" s="26"/>
      <c r="I718" s="26"/>
      <c r="J718" s="26"/>
      <c r="K718" s="26"/>
      <c r="L718" s="26"/>
      <c r="M718" s="26"/>
      <c r="N718" s="26"/>
      <c r="O718" s="26"/>
      <c r="P718" s="26"/>
      <c r="Q718" s="26"/>
      <c r="R718" s="27"/>
    </row>
    <row r="719" spans="2:18" ht="16.5" thickBot="1" x14ac:dyDescent="0.3">
      <c r="B719" s="32"/>
      <c r="C719" s="24"/>
      <c r="D719" s="25"/>
      <c r="E719" s="26"/>
      <c r="F719" s="26"/>
      <c r="G719" s="26"/>
      <c r="H719" s="26"/>
      <c r="I719" s="26"/>
      <c r="J719" s="26"/>
      <c r="K719" s="26"/>
      <c r="L719" s="26"/>
      <c r="M719" s="26"/>
      <c r="N719" s="26"/>
      <c r="O719" s="26"/>
      <c r="P719" s="26"/>
      <c r="Q719" s="26"/>
      <c r="R719" s="27"/>
    </row>
    <row r="720" spans="2:18" ht="19.5" thickBot="1" x14ac:dyDescent="0.35">
      <c r="B720" s="32"/>
      <c r="C720" s="302" t="s">
        <v>512</v>
      </c>
      <c r="D720" s="317" t="s">
        <v>7</v>
      </c>
      <c r="E720" s="318" t="s">
        <v>103</v>
      </c>
      <c r="F720" s="318" t="s">
        <v>104</v>
      </c>
      <c r="G720" s="318" t="s">
        <v>105</v>
      </c>
      <c r="H720" s="318" t="s">
        <v>106</v>
      </c>
      <c r="I720" s="318" t="s">
        <v>108</v>
      </c>
      <c r="J720" s="319" t="s">
        <v>268</v>
      </c>
      <c r="K720" s="26"/>
      <c r="L720" s="26"/>
      <c r="M720" s="26"/>
      <c r="N720" s="26"/>
      <c r="O720" s="26"/>
      <c r="P720" s="26"/>
      <c r="Q720" s="26"/>
      <c r="R720" s="27"/>
    </row>
    <row r="721" spans="2:18" x14ac:dyDescent="0.25">
      <c r="B721" s="32"/>
      <c r="C721" s="558" t="s">
        <v>482</v>
      </c>
      <c r="D721" s="219">
        <f>D356</f>
        <v>108000</v>
      </c>
      <c r="E721" s="219">
        <f t="shared" ref="E721:H721" si="68">E356</f>
        <v>113400</v>
      </c>
      <c r="F721" s="219">
        <f t="shared" si="68"/>
        <v>119070</v>
      </c>
      <c r="G721" s="219">
        <f t="shared" si="68"/>
        <v>126214.20000000001</v>
      </c>
      <c r="H721" s="219">
        <f t="shared" si="68"/>
        <v>135049.19400000002</v>
      </c>
      <c r="I721" s="220">
        <f t="shared" ref="I721:I740" si="69">IF(AND(ISNUMBER(D721),ISNUMBER(E721),ISNUMBER(F721),ISNUMBER(G721),ISNUMBER(H721)),TREND(D721:H721,D$304:H$304,I$304),"SIN DATOS")</f>
        <v>140420.45520000003</v>
      </c>
      <c r="J721" s="206"/>
      <c r="K721" s="26" t="s">
        <v>15</v>
      </c>
      <c r="L721" s="26"/>
      <c r="M721" s="26"/>
      <c r="N721" s="26"/>
      <c r="O721" s="26"/>
      <c r="P721" s="26"/>
      <c r="Q721" s="26"/>
      <c r="R721" s="27"/>
    </row>
    <row r="722" spans="2:18" x14ac:dyDescent="0.25">
      <c r="B722" s="32"/>
      <c r="C722" s="205" t="s">
        <v>483</v>
      </c>
      <c r="D722" s="219">
        <f>D315</f>
        <v>0</v>
      </c>
      <c r="E722" s="219">
        <f t="shared" ref="E722:H722" si="70">E315</f>
        <v>0</v>
      </c>
      <c r="F722" s="219">
        <f t="shared" si="70"/>
        <v>0</v>
      </c>
      <c r="G722" s="219">
        <f t="shared" si="70"/>
        <v>0</v>
      </c>
      <c r="H722" s="219">
        <f t="shared" si="70"/>
        <v>0</v>
      </c>
      <c r="I722" s="220">
        <f t="shared" si="69"/>
        <v>0</v>
      </c>
      <c r="J722" s="206"/>
      <c r="K722" s="26" t="s">
        <v>484</v>
      </c>
      <c r="L722" s="26"/>
      <c r="M722" s="26"/>
      <c r="N722" s="26"/>
      <c r="O722" s="26"/>
      <c r="P722" s="26"/>
      <c r="Q722" s="26"/>
      <c r="R722" s="27"/>
    </row>
    <row r="723" spans="2:18" x14ac:dyDescent="0.25">
      <c r="B723" s="32"/>
      <c r="C723" s="205" t="s">
        <v>485</v>
      </c>
      <c r="D723" s="201">
        <f>IF(D722&gt;0,D721/D722,0)</f>
        <v>0</v>
      </c>
      <c r="E723" s="201">
        <f>IF(E722&gt;0,E721/E722,0)</f>
        <v>0</v>
      </c>
      <c r="F723" s="201">
        <f t="shared" ref="F723:H723" si="71">IF(F722&gt;0,F721/F722,0)</f>
        <v>0</v>
      </c>
      <c r="G723" s="201">
        <f t="shared" si="71"/>
        <v>0</v>
      </c>
      <c r="H723" s="201">
        <f t="shared" si="71"/>
        <v>0</v>
      </c>
      <c r="I723" s="220">
        <f t="shared" si="69"/>
        <v>0</v>
      </c>
      <c r="J723" s="206"/>
      <c r="K723" s="26" t="s">
        <v>486</v>
      </c>
      <c r="L723" s="26"/>
      <c r="M723" s="26"/>
      <c r="N723" s="26"/>
      <c r="O723" s="26"/>
      <c r="P723" s="26"/>
      <c r="Q723" s="26"/>
      <c r="R723" s="27"/>
    </row>
    <row r="724" spans="2:18" x14ac:dyDescent="0.25">
      <c r="B724" s="32"/>
      <c r="C724" s="222" t="s">
        <v>504</v>
      </c>
      <c r="D724" s="224">
        <f>IF(D723&lt;&gt;0,365/D723,0)</f>
        <v>0</v>
      </c>
      <c r="E724" s="224">
        <f t="shared" ref="E724:H724" si="72">IF(E723&lt;&gt;0,365/E723,0)</f>
        <v>0</v>
      </c>
      <c r="F724" s="224">
        <f t="shared" si="72"/>
        <v>0</v>
      </c>
      <c r="G724" s="224">
        <f t="shared" si="72"/>
        <v>0</v>
      </c>
      <c r="H724" s="224">
        <f t="shared" si="72"/>
        <v>0</v>
      </c>
      <c r="I724" s="220">
        <f t="shared" si="69"/>
        <v>0</v>
      </c>
      <c r="J724" s="206"/>
      <c r="K724" s="26" t="s">
        <v>505</v>
      </c>
      <c r="L724" s="26"/>
      <c r="M724" s="26"/>
      <c r="N724" s="26"/>
      <c r="O724" s="26"/>
      <c r="P724" s="26"/>
      <c r="Q724" s="26"/>
      <c r="R724" s="27"/>
    </row>
    <row r="725" spans="2:18" x14ac:dyDescent="0.25">
      <c r="B725" s="32"/>
      <c r="C725" s="205" t="s">
        <v>487</v>
      </c>
      <c r="D725" s="219"/>
      <c r="E725" s="219"/>
      <c r="F725" s="219"/>
      <c r="G725" s="219"/>
      <c r="H725" s="219"/>
      <c r="I725" s="220" t="str">
        <f t="shared" si="69"/>
        <v>SIN DATOS</v>
      </c>
      <c r="J725" s="206"/>
      <c r="K725" s="26" t="s">
        <v>488</v>
      </c>
      <c r="L725" s="26"/>
      <c r="M725" s="26"/>
      <c r="N725" s="26"/>
      <c r="O725" s="26"/>
      <c r="P725" s="26"/>
      <c r="Q725" s="26"/>
      <c r="R725" s="27"/>
    </row>
    <row r="726" spans="2:18" x14ac:dyDescent="0.25">
      <c r="B726" s="32"/>
      <c r="C726" s="205" t="s">
        <v>489</v>
      </c>
      <c r="D726" s="219"/>
      <c r="E726" s="219"/>
      <c r="F726" s="219"/>
      <c r="G726" s="219"/>
      <c r="H726" s="219"/>
      <c r="I726" s="220" t="str">
        <f t="shared" si="69"/>
        <v>SIN DATOS</v>
      </c>
      <c r="J726" s="206"/>
      <c r="K726" s="26" t="s">
        <v>490</v>
      </c>
      <c r="L726" s="26"/>
      <c r="M726" s="26"/>
      <c r="N726" s="26"/>
      <c r="O726" s="26"/>
      <c r="P726" s="26"/>
      <c r="Q726" s="26"/>
      <c r="R726" s="27"/>
    </row>
    <row r="727" spans="2:18" x14ac:dyDescent="0.25">
      <c r="B727" s="32"/>
      <c r="C727" s="205" t="s">
        <v>491</v>
      </c>
      <c r="D727" s="201">
        <f>IF(D726&gt;0,D725/D726,0)</f>
        <v>0</v>
      </c>
      <c r="E727" s="201">
        <f>IF(E726&gt;0,E725/E726,0)</f>
        <v>0</v>
      </c>
      <c r="F727" s="201">
        <f t="shared" ref="F727:H727" si="73">IF(F726&gt;0,F725/F726,0)</f>
        <v>0</v>
      </c>
      <c r="G727" s="201">
        <f t="shared" si="73"/>
        <v>0</v>
      </c>
      <c r="H727" s="201">
        <f t="shared" si="73"/>
        <v>0</v>
      </c>
      <c r="I727" s="220">
        <f t="shared" si="69"/>
        <v>0</v>
      </c>
      <c r="J727" s="206"/>
      <c r="K727" s="26" t="s">
        <v>492</v>
      </c>
      <c r="L727" s="26"/>
      <c r="M727" s="26"/>
      <c r="N727" s="26"/>
      <c r="O727" s="26"/>
      <c r="P727" s="26"/>
      <c r="Q727" s="26"/>
      <c r="R727" s="27"/>
    </row>
    <row r="728" spans="2:18" x14ac:dyDescent="0.25">
      <c r="B728" s="32"/>
      <c r="C728" s="222" t="s">
        <v>506</v>
      </c>
      <c r="D728" s="224">
        <f>IF(D727&lt;&gt;0,365/D727,0)</f>
        <v>0</v>
      </c>
      <c r="E728" s="224">
        <f t="shared" ref="E728:H728" si="74">IF(E727&lt;&gt;0,365/E727,0)</f>
        <v>0</v>
      </c>
      <c r="F728" s="224">
        <f t="shared" si="74"/>
        <v>0</v>
      </c>
      <c r="G728" s="224">
        <f t="shared" si="74"/>
        <v>0</v>
      </c>
      <c r="H728" s="224">
        <f t="shared" si="74"/>
        <v>0</v>
      </c>
      <c r="I728" s="220">
        <f t="shared" si="69"/>
        <v>0</v>
      </c>
      <c r="J728" s="206"/>
      <c r="K728" s="26" t="s">
        <v>507</v>
      </c>
      <c r="L728" s="26"/>
      <c r="M728" s="26"/>
      <c r="N728" s="26"/>
      <c r="O728" s="26"/>
      <c r="P728" s="26"/>
      <c r="Q728" s="26"/>
      <c r="R728" s="27"/>
    </row>
    <row r="729" spans="2:18" x14ac:dyDescent="0.25">
      <c r="B729" s="32"/>
      <c r="C729" s="205" t="s">
        <v>493</v>
      </c>
      <c r="D729" s="219"/>
      <c r="E729" s="219"/>
      <c r="F729" s="219"/>
      <c r="G729" s="219"/>
      <c r="H729" s="219"/>
      <c r="I729" s="220" t="str">
        <f t="shared" si="69"/>
        <v>SIN DATOS</v>
      </c>
      <c r="J729" s="206"/>
      <c r="K729" s="26" t="s">
        <v>494</v>
      </c>
      <c r="L729" s="26"/>
      <c r="M729" s="26"/>
      <c r="N729" s="26"/>
      <c r="O729" s="26"/>
      <c r="P729" s="26"/>
      <c r="Q729" s="26"/>
      <c r="R729" s="27"/>
    </row>
    <row r="730" spans="2:18" x14ac:dyDescent="0.25">
      <c r="B730" s="32"/>
      <c r="C730" s="205" t="s">
        <v>495</v>
      </c>
      <c r="D730" s="219"/>
      <c r="E730" s="219"/>
      <c r="F730" s="219"/>
      <c r="G730" s="219"/>
      <c r="H730" s="219"/>
      <c r="I730" s="220" t="str">
        <f t="shared" si="69"/>
        <v>SIN DATOS</v>
      </c>
      <c r="J730" s="206"/>
      <c r="K730" s="26" t="s">
        <v>496</v>
      </c>
      <c r="L730" s="26"/>
      <c r="M730" s="26"/>
      <c r="N730" s="26"/>
      <c r="O730" s="26"/>
      <c r="P730" s="26"/>
      <c r="Q730" s="26"/>
      <c r="R730" s="27"/>
    </row>
    <row r="731" spans="2:18" x14ac:dyDescent="0.25">
      <c r="B731" s="32"/>
      <c r="C731" s="205" t="s">
        <v>497</v>
      </c>
      <c r="D731" s="201">
        <f>IF(D730&gt;0,D729/D730,0)</f>
        <v>0</v>
      </c>
      <c r="E731" s="201">
        <f>IF(E730&gt;0,E729/E730,0)</f>
        <v>0</v>
      </c>
      <c r="F731" s="201">
        <f t="shared" ref="F731:H731" si="75">IF(F730&gt;0,F729/F730,0)</f>
        <v>0</v>
      </c>
      <c r="G731" s="201">
        <f t="shared" si="75"/>
        <v>0</v>
      </c>
      <c r="H731" s="201">
        <f t="shared" si="75"/>
        <v>0</v>
      </c>
      <c r="I731" s="220">
        <f t="shared" si="69"/>
        <v>0</v>
      </c>
      <c r="J731" s="206"/>
      <c r="K731" s="26" t="s">
        <v>498</v>
      </c>
      <c r="L731" s="26"/>
      <c r="M731" s="26"/>
      <c r="N731" s="26"/>
      <c r="O731" s="26"/>
      <c r="P731" s="26"/>
      <c r="Q731" s="26"/>
      <c r="R731" s="27"/>
    </row>
    <row r="732" spans="2:18" x14ac:dyDescent="0.25">
      <c r="B732" s="32"/>
      <c r="C732" s="222" t="s">
        <v>508</v>
      </c>
      <c r="D732" s="224">
        <f>IF(D731&lt;&gt;0,365/D731,0)</f>
        <v>0</v>
      </c>
      <c r="E732" s="224">
        <f t="shared" ref="E732:H732" si="76">IF(E731&lt;&gt;0,365/E731,0)</f>
        <v>0</v>
      </c>
      <c r="F732" s="224">
        <f t="shared" si="76"/>
        <v>0</v>
      </c>
      <c r="G732" s="224">
        <f t="shared" si="76"/>
        <v>0</v>
      </c>
      <c r="H732" s="224">
        <f t="shared" si="76"/>
        <v>0</v>
      </c>
      <c r="I732" s="220">
        <f t="shared" si="69"/>
        <v>0</v>
      </c>
      <c r="J732" s="206"/>
      <c r="K732" s="26" t="s">
        <v>509</v>
      </c>
      <c r="L732" s="26"/>
      <c r="M732" s="26"/>
      <c r="N732" s="26"/>
      <c r="O732" s="26"/>
      <c r="P732" s="26"/>
      <c r="Q732" s="26"/>
      <c r="R732" s="27"/>
    </row>
    <row r="733" spans="2:18" x14ac:dyDescent="0.25">
      <c r="B733" s="32"/>
      <c r="C733" s="205" t="s">
        <v>499</v>
      </c>
      <c r="D733" s="219">
        <f>D353</f>
        <v>216000</v>
      </c>
      <c r="E733" s="219">
        <f t="shared" ref="E733:H733" si="77">E353</f>
        <v>222480</v>
      </c>
      <c r="F733" s="219">
        <f t="shared" si="77"/>
        <v>233604</v>
      </c>
      <c r="G733" s="219">
        <f t="shared" si="77"/>
        <v>249956.28000000003</v>
      </c>
      <c r="H733" s="219">
        <f t="shared" si="77"/>
        <v>274951.90800000005</v>
      </c>
      <c r="I733" s="220">
        <f t="shared" si="69"/>
        <v>283012.46640000003</v>
      </c>
      <c r="J733" s="206"/>
      <c r="K733" s="26" t="s">
        <v>47</v>
      </c>
      <c r="L733" s="26"/>
      <c r="M733" s="26"/>
      <c r="N733" s="26"/>
      <c r="O733" s="26"/>
      <c r="P733" s="26"/>
      <c r="Q733" s="26"/>
      <c r="R733" s="27"/>
    </row>
    <row r="734" spans="2:18" x14ac:dyDescent="0.25">
      <c r="B734" s="32"/>
      <c r="C734" s="205" t="s">
        <v>500</v>
      </c>
      <c r="D734" s="219"/>
      <c r="E734" s="219"/>
      <c r="F734" s="219"/>
      <c r="G734" s="219"/>
      <c r="H734" s="219"/>
      <c r="I734" s="220" t="str">
        <f t="shared" si="69"/>
        <v>SIN DATOS</v>
      </c>
      <c r="J734" s="206"/>
      <c r="K734" s="26" t="s">
        <v>501</v>
      </c>
      <c r="L734" s="26"/>
      <c r="M734" s="26"/>
      <c r="N734" s="26"/>
      <c r="O734" s="26"/>
      <c r="P734" s="26"/>
      <c r="Q734" s="26"/>
      <c r="R734" s="27"/>
    </row>
    <row r="735" spans="2:18" x14ac:dyDescent="0.25">
      <c r="B735" s="32"/>
      <c r="C735" s="205" t="s">
        <v>502</v>
      </c>
      <c r="D735" s="201">
        <f>IF(D734&gt;0,D733/D734,0)</f>
        <v>0</v>
      </c>
      <c r="E735" s="201">
        <f>IF(E734&gt;0,E733/E734,0)</f>
        <v>0</v>
      </c>
      <c r="F735" s="201">
        <f t="shared" ref="F735:H735" si="78">IF(F734&gt;0,F733/F734,0)</f>
        <v>0</v>
      </c>
      <c r="G735" s="201">
        <f t="shared" si="78"/>
        <v>0</v>
      </c>
      <c r="H735" s="201">
        <f t="shared" si="78"/>
        <v>0</v>
      </c>
      <c r="I735" s="220">
        <f t="shared" si="69"/>
        <v>0</v>
      </c>
      <c r="J735" s="206"/>
      <c r="K735" s="26" t="s">
        <v>503</v>
      </c>
      <c r="L735" s="26"/>
      <c r="M735" s="26"/>
      <c r="N735" s="26"/>
      <c r="O735" s="26"/>
      <c r="P735" s="26"/>
      <c r="Q735" s="26"/>
      <c r="R735" s="27"/>
    </row>
    <row r="736" spans="2:18" x14ac:dyDescent="0.25">
      <c r="B736" s="32"/>
      <c r="C736" s="222" t="s">
        <v>510</v>
      </c>
      <c r="D736" s="224">
        <f>IF(D735&lt;&gt;0,365/D735,0)</f>
        <v>0</v>
      </c>
      <c r="E736" s="224">
        <f t="shared" ref="E736:H736" si="79">IF(E735&lt;&gt;0,365/E735,0)</f>
        <v>0</v>
      </c>
      <c r="F736" s="224">
        <f t="shared" si="79"/>
        <v>0</v>
      </c>
      <c r="G736" s="224">
        <f t="shared" si="79"/>
        <v>0</v>
      </c>
      <c r="H736" s="224">
        <f t="shared" si="79"/>
        <v>0</v>
      </c>
      <c r="I736" s="220">
        <f t="shared" si="69"/>
        <v>0</v>
      </c>
      <c r="J736" s="206"/>
      <c r="K736" s="26" t="s">
        <v>511</v>
      </c>
      <c r="L736" s="26"/>
      <c r="M736" s="26"/>
      <c r="N736" s="26"/>
      <c r="O736" s="26"/>
      <c r="P736" s="26"/>
      <c r="Q736" s="26"/>
      <c r="R736" s="27"/>
    </row>
    <row r="737" spans="2:18" x14ac:dyDescent="0.25">
      <c r="B737" s="32"/>
      <c r="C737" s="205" t="s">
        <v>635</v>
      </c>
      <c r="D737" s="301"/>
      <c r="E737" s="301"/>
      <c r="F737" s="301"/>
      <c r="G737" s="301"/>
      <c r="H737" s="301"/>
      <c r="I737" s="220" t="str">
        <f t="shared" si="69"/>
        <v>SIN DATOS</v>
      </c>
      <c r="J737" s="206"/>
      <c r="K737" s="26"/>
      <c r="L737" s="26"/>
      <c r="M737" s="26"/>
      <c r="N737" s="26"/>
      <c r="O737" s="26"/>
      <c r="P737" s="26"/>
      <c r="Q737" s="26"/>
      <c r="R737" s="27"/>
    </row>
    <row r="738" spans="2:18" x14ac:dyDescent="0.25">
      <c r="B738" s="32"/>
      <c r="C738" s="205" t="s">
        <v>634</v>
      </c>
      <c r="D738" s="201">
        <f>IF(D737&gt;0,D721/D737,0)</f>
        <v>0</v>
      </c>
      <c r="E738" s="201">
        <f>IF(E737&gt;0,E721/E737,0)</f>
        <v>0</v>
      </c>
      <c r="F738" s="201">
        <f>IF(F737&gt;0,F721/F737,0)</f>
        <v>0</v>
      </c>
      <c r="G738" s="201">
        <f>IF(G737&gt;0,G721/G737,0)</f>
        <v>0</v>
      </c>
      <c r="H738" s="201">
        <f>IF(H737&gt;0,H721/H737,0)</f>
        <v>0</v>
      </c>
      <c r="I738" s="220">
        <f t="shared" si="69"/>
        <v>0</v>
      </c>
      <c r="J738" s="206"/>
      <c r="K738" s="26"/>
      <c r="L738" s="26"/>
      <c r="M738" s="26"/>
      <c r="N738" s="26"/>
      <c r="O738" s="26"/>
      <c r="P738" s="26"/>
      <c r="Q738" s="26"/>
      <c r="R738" s="27"/>
    </row>
    <row r="739" spans="2:18" x14ac:dyDescent="0.25">
      <c r="B739" s="32"/>
      <c r="C739" s="299" t="s">
        <v>633</v>
      </c>
      <c r="D739" s="224">
        <f>IF(D738&lt;&gt;0,365/D738,0)</f>
        <v>0</v>
      </c>
      <c r="E739" s="224">
        <f t="shared" ref="E739:H739" si="80">IF(E738&lt;&gt;0,365/E738,0)</f>
        <v>0</v>
      </c>
      <c r="F739" s="224">
        <f t="shared" si="80"/>
        <v>0</v>
      </c>
      <c r="G739" s="224">
        <f t="shared" si="80"/>
        <v>0</v>
      </c>
      <c r="H739" s="224">
        <f t="shared" si="80"/>
        <v>0</v>
      </c>
      <c r="I739" s="220">
        <f t="shared" si="69"/>
        <v>0</v>
      </c>
      <c r="J739" s="300"/>
      <c r="K739" s="26"/>
      <c r="L739" s="26"/>
      <c r="M739" s="26"/>
      <c r="N739" s="26"/>
      <c r="O739" s="26"/>
      <c r="P739" s="26"/>
      <c r="Q739" s="26"/>
      <c r="R739" s="27"/>
    </row>
    <row r="740" spans="2:18" ht="16.5" thickBot="1" x14ac:dyDescent="0.3">
      <c r="B740" s="32"/>
      <c r="C740" s="223" t="s">
        <v>467</v>
      </c>
      <c r="D740" s="225">
        <f>D724+D728+D732+D736-D739</f>
        <v>0</v>
      </c>
      <c r="E740" s="225">
        <f>E724+E728+E732+E736-E739</f>
        <v>0</v>
      </c>
      <c r="F740" s="225">
        <f>F724+F728+F732+F736-F739</f>
        <v>0</v>
      </c>
      <c r="G740" s="225">
        <f>G724+G728+G732+G736-G739</f>
        <v>0</v>
      </c>
      <c r="H740" s="225">
        <f>H724+H728+H732+H736-H739</f>
        <v>0</v>
      </c>
      <c r="I740" s="221">
        <f t="shared" si="69"/>
        <v>0</v>
      </c>
      <c r="J740" s="208"/>
      <c r="K740" s="26"/>
      <c r="L740" s="26"/>
      <c r="M740" s="26"/>
      <c r="N740" s="26"/>
      <c r="O740" s="26"/>
      <c r="P740" s="26"/>
      <c r="Q740" s="26"/>
      <c r="R740" s="27"/>
    </row>
    <row r="741" spans="2:18" x14ac:dyDescent="0.25">
      <c r="B741" s="32"/>
      <c r="C741" s="24"/>
      <c r="D741" s="25"/>
      <c r="E741" s="26"/>
      <c r="F741" s="26"/>
      <c r="G741" s="26"/>
      <c r="H741" s="26"/>
      <c r="I741" s="26"/>
      <c r="J741" s="26"/>
      <c r="K741" s="26"/>
      <c r="L741" s="26"/>
      <c r="M741" s="26"/>
      <c r="N741" s="26"/>
      <c r="O741" s="26"/>
      <c r="P741" s="26"/>
      <c r="Q741" s="26"/>
      <c r="R741" s="27"/>
    </row>
    <row r="742" spans="2:18" x14ac:dyDescent="0.25">
      <c r="B742" s="32"/>
      <c r="C742" s="24"/>
      <c r="D742" s="25"/>
      <c r="E742" s="26"/>
      <c r="F742" s="26"/>
      <c r="G742" s="26"/>
      <c r="H742" s="26"/>
      <c r="I742" s="26"/>
      <c r="J742" s="26"/>
      <c r="K742" s="26"/>
      <c r="L742" s="26"/>
      <c r="M742" s="26"/>
      <c r="N742" s="26"/>
      <c r="O742" s="26"/>
      <c r="P742" s="26"/>
      <c r="Q742" s="26"/>
      <c r="R742" s="27"/>
    </row>
    <row r="743" spans="2:18" x14ac:dyDescent="0.25">
      <c r="B743" s="32"/>
      <c r="C743" s="24"/>
      <c r="D743" s="25"/>
      <c r="E743" s="26"/>
      <c r="F743" s="26"/>
      <c r="G743" s="26"/>
      <c r="H743" s="26"/>
      <c r="I743" s="26"/>
      <c r="J743" s="26"/>
      <c r="K743" s="26"/>
      <c r="L743" s="26"/>
      <c r="M743" s="26"/>
      <c r="N743" s="26"/>
      <c r="O743" s="26"/>
      <c r="P743" s="26"/>
      <c r="Q743" s="26"/>
      <c r="R743" s="27"/>
    </row>
    <row r="744" spans="2:18" x14ac:dyDescent="0.25">
      <c r="B744" s="32"/>
      <c r="C744" s="24"/>
      <c r="D744" s="25"/>
      <c r="E744" s="26"/>
      <c r="F744" s="26"/>
      <c r="G744" s="26"/>
      <c r="H744" s="26"/>
      <c r="I744" s="26"/>
      <c r="J744" s="26"/>
      <c r="K744" s="26"/>
      <c r="L744" s="26"/>
      <c r="M744" s="26"/>
      <c r="N744" s="26"/>
      <c r="O744" s="26"/>
      <c r="P744" s="26"/>
      <c r="Q744" s="26"/>
      <c r="R744" s="27"/>
    </row>
    <row r="745" spans="2:18" x14ac:dyDescent="0.25">
      <c r="B745" s="32"/>
      <c r="C745" s="24"/>
      <c r="D745" s="25"/>
      <c r="E745" s="26"/>
      <c r="F745" s="26"/>
      <c r="G745" s="26"/>
      <c r="H745" s="26"/>
      <c r="I745" s="26"/>
      <c r="J745" s="26"/>
      <c r="K745" s="26"/>
      <c r="L745" s="26"/>
      <c r="M745" s="26"/>
      <c r="N745" s="26"/>
      <c r="O745" s="26"/>
      <c r="P745" s="26"/>
      <c r="Q745" s="26"/>
      <c r="R745" s="27"/>
    </row>
    <row r="746" spans="2:18" x14ac:dyDescent="0.25">
      <c r="B746" s="32"/>
      <c r="C746" s="24"/>
      <c r="D746" s="25"/>
      <c r="E746" s="26"/>
      <c r="F746" s="26"/>
      <c r="G746" s="26"/>
      <c r="H746" s="26"/>
      <c r="I746" s="26"/>
      <c r="J746" s="26"/>
      <c r="K746" s="26"/>
      <c r="L746" s="26"/>
      <c r="M746" s="26"/>
      <c r="N746" s="26"/>
      <c r="O746" s="26"/>
      <c r="P746" s="26"/>
      <c r="Q746" s="26"/>
      <c r="R746" s="27"/>
    </row>
    <row r="747" spans="2:18" x14ac:dyDescent="0.25">
      <c r="B747" s="32"/>
      <c r="C747" s="24"/>
      <c r="D747" s="25"/>
      <c r="E747" s="26"/>
      <c r="F747" s="26"/>
      <c r="G747" s="26"/>
      <c r="H747" s="26"/>
      <c r="I747" s="26"/>
      <c r="J747" s="26"/>
      <c r="K747" s="26"/>
      <c r="L747" s="26"/>
      <c r="M747" s="26"/>
      <c r="N747" s="26"/>
      <c r="O747" s="26"/>
      <c r="P747" s="26"/>
      <c r="Q747" s="26"/>
      <c r="R747" s="27"/>
    </row>
    <row r="748" spans="2:18" x14ac:dyDescent="0.25">
      <c r="B748" s="32"/>
      <c r="C748" s="24"/>
      <c r="D748" s="25"/>
      <c r="E748" s="26"/>
      <c r="F748" s="26"/>
      <c r="G748" s="26"/>
      <c r="H748" s="26"/>
      <c r="I748" s="26"/>
      <c r="J748" s="26"/>
      <c r="K748" s="26"/>
      <c r="L748" s="26"/>
      <c r="M748" s="26"/>
      <c r="N748" s="26"/>
      <c r="O748" s="26"/>
      <c r="P748" s="26"/>
      <c r="Q748" s="26"/>
      <c r="R748" s="27"/>
    </row>
    <row r="749" spans="2:18" x14ac:dyDescent="0.25">
      <c r="B749" s="32"/>
      <c r="C749" s="24"/>
      <c r="D749" s="25"/>
      <c r="E749" s="26"/>
      <c r="F749" s="26"/>
      <c r="G749" s="26"/>
      <c r="H749" s="26"/>
      <c r="I749" s="26"/>
      <c r="J749" s="26"/>
      <c r="K749" s="26"/>
      <c r="L749" s="26"/>
      <c r="M749" s="26"/>
      <c r="N749" s="26"/>
      <c r="O749" s="26"/>
      <c r="P749" s="26"/>
      <c r="Q749" s="26"/>
      <c r="R749" s="27"/>
    </row>
    <row r="750" spans="2:18" x14ac:dyDescent="0.25">
      <c r="B750" s="32"/>
      <c r="C750" s="24"/>
      <c r="D750" s="25"/>
      <c r="E750" s="26"/>
      <c r="F750" s="26"/>
      <c r="G750" s="26"/>
      <c r="H750" s="26"/>
      <c r="I750" s="26"/>
      <c r="J750" s="26"/>
      <c r="K750" s="26"/>
      <c r="L750" s="26"/>
      <c r="M750" s="26"/>
      <c r="N750" s="26"/>
      <c r="O750" s="26"/>
      <c r="P750" s="26"/>
      <c r="Q750" s="26"/>
      <c r="R750" s="27"/>
    </row>
    <row r="751" spans="2:18" x14ac:dyDescent="0.25">
      <c r="B751" s="32"/>
      <c r="C751" s="24"/>
      <c r="D751" s="25"/>
      <c r="E751" s="26"/>
      <c r="F751" s="26"/>
      <c r="G751" s="26"/>
      <c r="H751" s="26"/>
      <c r="I751" s="26"/>
      <c r="J751" s="26"/>
      <c r="K751" s="26"/>
      <c r="L751" s="26"/>
      <c r="M751" s="26"/>
      <c r="N751" s="26"/>
      <c r="O751" s="26"/>
      <c r="P751" s="26"/>
      <c r="Q751" s="26"/>
      <c r="R751" s="27"/>
    </row>
    <row r="752" spans="2:18" ht="16.5" thickBot="1" x14ac:dyDescent="0.3">
      <c r="B752" s="32"/>
      <c r="C752" s="24"/>
      <c r="D752" s="24"/>
      <c r="E752" s="24"/>
      <c r="F752" s="26"/>
      <c r="G752" s="26"/>
      <c r="H752" s="25"/>
      <c r="I752" s="26"/>
      <c r="J752" s="26"/>
      <c r="K752" s="26"/>
      <c r="L752" s="26"/>
      <c r="M752" s="26"/>
      <c r="N752" s="26"/>
      <c r="O752" s="26"/>
      <c r="P752" s="26"/>
      <c r="Q752" s="26"/>
      <c r="R752" s="27"/>
    </row>
    <row r="753" spans="2:18" ht="19.5" thickBot="1" x14ac:dyDescent="0.35">
      <c r="B753" s="32"/>
      <c r="C753" s="567" t="s">
        <v>481</v>
      </c>
      <c r="D753" s="568" t="s">
        <v>469</v>
      </c>
      <c r="E753" s="568" t="s">
        <v>468</v>
      </c>
      <c r="F753" s="568" t="s">
        <v>479</v>
      </c>
      <c r="G753" s="569" t="s">
        <v>480</v>
      </c>
      <c r="H753" s="25"/>
      <c r="I753" s="26"/>
      <c r="J753" s="26"/>
      <c r="K753" s="26"/>
      <c r="L753" s="26"/>
      <c r="M753" s="26"/>
      <c r="N753" s="26"/>
      <c r="O753" s="26"/>
      <c r="P753" s="26"/>
      <c r="Q753" s="26"/>
      <c r="R753" s="27"/>
    </row>
    <row r="754" spans="2:18" x14ac:dyDescent="0.25">
      <c r="B754" s="32"/>
      <c r="C754" s="563" t="s">
        <v>478</v>
      </c>
      <c r="D754" s="564">
        <v>40603</v>
      </c>
      <c r="E754" s="565"/>
      <c r="F754" s="565"/>
      <c r="G754" s="566"/>
      <c r="H754" s="25"/>
      <c r="I754" s="26"/>
      <c r="J754" s="26"/>
      <c r="K754" s="26"/>
      <c r="L754" s="26"/>
      <c r="M754" s="26"/>
      <c r="N754" s="26"/>
      <c r="O754" s="26"/>
      <c r="P754" s="26"/>
      <c r="Q754" s="26"/>
      <c r="R754" s="27"/>
    </row>
    <row r="755" spans="2:18" x14ac:dyDescent="0.25">
      <c r="B755" s="32"/>
      <c r="C755" s="210" t="s">
        <v>470</v>
      </c>
      <c r="D755" s="213">
        <v>60</v>
      </c>
      <c r="E755" s="214">
        <f>IF(D754&lt;&gt;"",D754,"")</f>
        <v>40603</v>
      </c>
      <c r="F755" s="214">
        <f>E755+D755-1</f>
        <v>40662</v>
      </c>
      <c r="G755" s="215">
        <f>E755-$D$754</f>
        <v>0</v>
      </c>
      <c r="H755" s="25"/>
      <c r="I755" s="26"/>
      <c r="J755" s="26"/>
      <c r="K755" s="26"/>
      <c r="L755" s="26"/>
      <c r="M755" s="26"/>
      <c r="N755" s="26"/>
      <c r="O755" s="26"/>
      <c r="P755" s="26"/>
      <c r="Q755" s="26"/>
      <c r="R755" s="27"/>
    </row>
    <row r="756" spans="2:18" x14ac:dyDescent="0.25">
      <c r="B756" s="32"/>
      <c r="C756" s="210" t="s">
        <v>471</v>
      </c>
      <c r="D756" s="213">
        <v>20</v>
      </c>
      <c r="E756" s="214">
        <f>D754</f>
        <v>40603</v>
      </c>
      <c r="F756" s="214">
        <f>E756+D756-1</f>
        <v>40622</v>
      </c>
      <c r="G756" s="215">
        <f>E756-$D$754</f>
        <v>0</v>
      </c>
      <c r="H756" s="25"/>
      <c r="I756" s="26"/>
      <c r="J756" s="26"/>
      <c r="K756" s="26"/>
      <c r="L756" s="26"/>
      <c r="M756" s="26"/>
      <c r="N756" s="26"/>
      <c r="O756" s="26"/>
      <c r="P756" s="26"/>
      <c r="Q756" s="26"/>
      <c r="R756" s="27"/>
    </row>
    <row r="757" spans="2:18" x14ac:dyDescent="0.25">
      <c r="B757" s="32"/>
      <c r="C757" s="210" t="s">
        <v>472</v>
      </c>
      <c r="D757" s="213">
        <v>15</v>
      </c>
      <c r="E757" s="214">
        <f>F756+1</f>
        <v>40623</v>
      </c>
      <c r="F757" s="214">
        <f t="shared" ref="F757:F759" si="81">E757+D757-1</f>
        <v>40637</v>
      </c>
      <c r="G757" s="215">
        <f>E757-$D$754</f>
        <v>20</v>
      </c>
      <c r="H757" s="25"/>
      <c r="I757" s="26"/>
      <c r="J757" s="26"/>
      <c r="K757" s="26"/>
      <c r="L757" s="26"/>
      <c r="M757" s="26"/>
      <c r="N757" s="26"/>
      <c r="O757" s="26"/>
      <c r="P757" s="26"/>
      <c r="Q757" s="26"/>
      <c r="R757" s="27"/>
    </row>
    <row r="758" spans="2:18" x14ac:dyDescent="0.25">
      <c r="B758" s="32"/>
      <c r="C758" s="210" t="s">
        <v>473</v>
      </c>
      <c r="D758" s="213">
        <v>60</v>
      </c>
      <c r="E758" s="214">
        <f>F757+1</f>
        <v>40638</v>
      </c>
      <c r="F758" s="214">
        <f t="shared" si="81"/>
        <v>40697</v>
      </c>
      <c r="G758" s="215">
        <f>E758-$D$754</f>
        <v>35</v>
      </c>
      <c r="H758" s="25"/>
      <c r="I758" s="26"/>
      <c r="J758" s="26"/>
      <c r="K758" s="26"/>
      <c r="L758" s="26"/>
      <c r="M758" s="26"/>
      <c r="N758" s="26"/>
      <c r="O758" s="26"/>
      <c r="P758" s="26"/>
      <c r="Q758" s="26"/>
      <c r="R758" s="27"/>
    </row>
    <row r="759" spans="2:18" x14ac:dyDescent="0.25">
      <c r="B759" s="32"/>
      <c r="C759" s="210" t="s">
        <v>474</v>
      </c>
      <c r="D759" s="213">
        <v>40</v>
      </c>
      <c r="E759" s="214">
        <f>F758+1</f>
        <v>40698</v>
      </c>
      <c r="F759" s="214">
        <f t="shared" si="81"/>
        <v>40737</v>
      </c>
      <c r="G759" s="215">
        <f>E759-$D$754</f>
        <v>95</v>
      </c>
      <c r="H759" s="25"/>
      <c r="I759" s="26"/>
      <c r="J759" s="26"/>
      <c r="K759" s="26"/>
      <c r="L759" s="26"/>
      <c r="M759" s="26"/>
      <c r="N759" s="26"/>
      <c r="O759" s="26"/>
      <c r="P759" s="26"/>
      <c r="Q759" s="26"/>
      <c r="R759" s="27"/>
    </row>
    <row r="760" spans="2:18" x14ac:dyDescent="0.25">
      <c r="B760" s="32"/>
      <c r="C760" s="210"/>
      <c r="D760" s="212"/>
      <c r="E760" s="214" t="str">
        <f>IF(D760&gt;0,IF(#REF!&lt;&gt;"",LOOKUP(#REF!,$B$306:$B$325,$G$306:$G$325)+1,$G$278),"")</f>
        <v/>
      </c>
      <c r="F760" s="214"/>
      <c r="G760" s="215"/>
      <c r="H760" s="25"/>
      <c r="I760" s="26"/>
      <c r="J760" s="26"/>
      <c r="K760" s="26"/>
      <c r="L760" s="26"/>
      <c r="M760" s="26"/>
      <c r="N760" s="26"/>
      <c r="O760" s="26"/>
      <c r="P760" s="26"/>
      <c r="Q760" s="26"/>
      <c r="R760" s="27"/>
    </row>
    <row r="761" spans="2:18" x14ac:dyDescent="0.25">
      <c r="B761" s="32"/>
      <c r="C761" s="210"/>
      <c r="D761" s="212"/>
      <c r="E761" s="214" t="str">
        <f>IF(D761&gt;0,IF(#REF!&lt;&gt;"",LOOKUP(#REF!,$B$306:$B$325,$G$306:$G$325)+1,$G$278),"")</f>
        <v/>
      </c>
      <c r="F761" s="214"/>
      <c r="G761" s="215"/>
      <c r="H761" s="25"/>
      <c r="I761" s="26"/>
      <c r="J761" s="26"/>
      <c r="K761" s="26"/>
      <c r="L761" s="26"/>
      <c r="M761" s="26"/>
      <c r="N761" s="26"/>
      <c r="O761" s="26"/>
      <c r="P761" s="26"/>
      <c r="Q761" s="26"/>
      <c r="R761" s="27"/>
    </row>
    <row r="762" spans="2:18" x14ac:dyDescent="0.25">
      <c r="B762" s="32"/>
      <c r="C762" s="210" t="s">
        <v>475</v>
      </c>
      <c r="D762" s="212">
        <f>D756+D757+D758</f>
        <v>95</v>
      </c>
      <c r="E762" s="214">
        <f>D754</f>
        <v>40603</v>
      </c>
      <c r="F762" s="214">
        <f>E762+D762-1</f>
        <v>40697</v>
      </c>
      <c r="G762" s="215">
        <f>E762-$D$754</f>
        <v>0</v>
      </c>
      <c r="H762" s="25"/>
      <c r="I762" s="26"/>
      <c r="J762" s="26"/>
      <c r="K762" s="26"/>
      <c r="L762" s="26"/>
      <c r="M762" s="26"/>
      <c r="N762" s="26"/>
      <c r="O762" s="26"/>
      <c r="P762" s="26"/>
      <c r="Q762" s="26"/>
      <c r="R762" s="27"/>
    </row>
    <row r="763" spans="2:18" x14ac:dyDescent="0.25">
      <c r="B763" s="32"/>
      <c r="C763" s="210" t="s">
        <v>476</v>
      </c>
      <c r="D763" s="212">
        <f>D756+D757+D758+D759</f>
        <v>135</v>
      </c>
      <c r="E763" s="214">
        <f>D754</f>
        <v>40603</v>
      </c>
      <c r="F763" s="214">
        <f t="shared" ref="F763:F764" si="82">E763+D763-1</f>
        <v>40737</v>
      </c>
      <c r="G763" s="215">
        <f>E763-$D$754</f>
        <v>0</v>
      </c>
      <c r="H763" s="25"/>
      <c r="I763" s="26"/>
      <c r="J763" s="26"/>
      <c r="K763" s="26"/>
      <c r="L763" s="26"/>
      <c r="M763" s="26"/>
      <c r="N763" s="26"/>
      <c r="O763" s="26"/>
      <c r="P763" s="26"/>
      <c r="Q763" s="26"/>
      <c r="R763" s="27"/>
    </row>
    <row r="764" spans="2:18" ht="16.5" thickBot="1" x14ac:dyDescent="0.3">
      <c r="B764" s="32"/>
      <c r="C764" s="211" t="s">
        <v>477</v>
      </c>
      <c r="D764" s="216">
        <f>D763-D755</f>
        <v>75</v>
      </c>
      <c r="E764" s="217">
        <f>F755+1</f>
        <v>40663</v>
      </c>
      <c r="F764" s="217">
        <f t="shared" si="82"/>
        <v>40737</v>
      </c>
      <c r="G764" s="218">
        <f>E764-$D$754</f>
        <v>60</v>
      </c>
      <c r="H764" s="25"/>
      <c r="I764" s="26"/>
      <c r="J764" s="26"/>
      <c r="K764" s="26"/>
      <c r="L764" s="26"/>
      <c r="M764" s="26"/>
      <c r="N764" s="26"/>
      <c r="O764" s="26"/>
      <c r="P764" s="26"/>
      <c r="Q764" s="26"/>
      <c r="R764" s="27"/>
    </row>
    <row r="765" spans="2:18" x14ac:dyDescent="0.25">
      <c r="B765" s="32"/>
      <c r="C765" s="26"/>
      <c r="D765" s="26"/>
      <c r="E765" s="26"/>
      <c r="F765" s="26"/>
      <c r="G765" s="26"/>
      <c r="H765" s="25"/>
      <c r="I765" s="26"/>
      <c r="J765" s="26"/>
      <c r="K765" s="26"/>
      <c r="L765" s="26"/>
      <c r="M765" s="26"/>
      <c r="N765" s="26"/>
      <c r="O765" s="26"/>
      <c r="P765" s="26"/>
      <c r="Q765" s="26"/>
      <c r="R765" s="27"/>
    </row>
    <row r="766" spans="2:18" ht="16.5" thickBot="1" x14ac:dyDescent="0.3">
      <c r="B766" s="171"/>
      <c r="C766" s="30"/>
      <c r="D766" s="30"/>
      <c r="E766" s="30"/>
      <c r="F766" s="30"/>
      <c r="G766" s="30"/>
      <c r="H766" s="29"/>
      <c r="I766" s="30"/>
      <c r="J766" s="30"/>
      <c r="K766" s="30"/>
      <c r="L766" s="30"/>
      <c r="M766" s="30"/>
      <c r="N766" s="30"/>
      <c r="O766" s="30"/>
      <c r="P766" s="30"/>
      <c r="Q766" s="30"/>
      <c r="R766" s="31"/>
    </row>
    <row r="767" spans="2:18" ht="16.5" thickBot="1" x14ac:dyDescent="0.3">
      <c r="B767" s="131"/>
      <c r="C767" s="10"/>
      <c r="D767" s="9"/>
      <c r="E767" s="8"/>
      <c r="G767" s="9"/>
    </row>
    <row r="768" spans="2:18" ht="21.75" thickBot="1" x14ac:dyDescent="0.4">
      <c r="B768" s="200" t="s">
        <v>734</v>
      </c>
      <c r="C768" s="20"/>
      <c r="D768" s="36"/>
      <c r="E768" s="22"/>
      <c r="F768" s="22"/>
      <c r="G768" s="22"/>
      <c r="H768" s="22"/>
      <c r="I768" s="22"/>
      <c r="J768" s="22"/>
      <c r="K768" s="22"/>
      <c r="L768" s="22"/>
      <c r="M768" s="22"/>
      <c r="N768" s="22"/>
      <c r="O768" s="22"/>
      <c r="P768" s="22"/>
      <c r="Q768" s="22"/>
      <c r="R768" s="23"/>
    </row>
    <row r="769" spans="2:18" x14ac:dyDescent="0.25">
      <c r="B769" s="32"/>
      <c r="C769" s="24"/>
      <c r="D769" s="25"/>
      <c r="E769" s="26"/>
      <c r="F769" s="26"/>
      <c r="G769" s="26"/>
      <c r="H769" s="26"/>
      <c r="I769" s="26"/>
      <c r="J769" s="26"/>
      <c r="K769" s="26"/>
      <c r="L769" s="26"/>
      <c r="M769" s="26"/>
      <c r="N769" s="26"/>
      <c r="O769" s="26"/>
      <c r="P769" s="26"/>
      <c r="Q769" s="26"/>
      <c r="R769" s="27"/>
    </row>
    <row r="770" spans="2:18" x14ac:dyDescent="0.25">
      <c r="B770" s="44"/>
      <c r="C770" s="48"/>
      <c r="D770" s="25"/>
      <c r="E770" s="26"/>
      <c r="F770" s="26"/>
      <c r="G770" s="26"/>
      <c r="H770" s="26"/>
      <c r="I770" s="26"/>
      <c r="J770" s="26"/>
      <c r="K770" s="26"/>
      <c r="L770" s="26"/>
      <c r="M770" s="26"/>
      <c r="N770" s="26"/>
      <c r="O770" s="26"/>
      <c r="P770" s="26"/>
      <c r="Q770" s="26"/>
      <c r="R770" s="27"/>
    </row>
    <row r="771" spans="2:18" x14ac:dyDescent="0.25">
      <c r="B771" s="44"/>
      <c r="C771" s="48"/>
      <c r="D771" s="25"/>
      <c r="E771" s="26"/>
      <c r="F771" s="26"/>
      <c r="G771" s="26"/>
      <c r="H771" s="26"/>
      <c r="I771" s="26"/>
      <c r="J771" s="26"/>
      <c r="K771" s="26"/>
      <c r="L771" s="26"/>
      <c r="M771" s="26"/>
      <c r="N771" s="26"/>
      <c r="O771" s="26"/>
      <c r="P771" s="26"/>
      <c r="Q771" s="26"/>
      <c r="R771" s="27"/>
    </row>
    <row r="772" spans="2:18" x14ac:dyDescent="0.25">
      <c r="B772" s="44"/>
      <c r="C772" s="48"/>
      <c r="D772" s="25"/>
      <c r="E772" s="26"/>
      <c r="F772" s="26"/>
      <c r="G772" s="26"/>
      <c r="H772" s="26"/>
      <c r="I772" s="26"/>
      <c r="J772" s="26"/>
      <c r="K772" s="26"/>
      <c r="L772" s="26"/>
      <c r="M772" s="26"/>
      <c r="N772" s="26"/>
      <c r="O772" s="26"/>
      <c r="P772" s="26"/>
      <c r="Q772" s="26"/>
      <c r="R772" s="27"/>
    </row>
    <row r="773" spans="2:18" x14ac:dyDescent="0.25">
      <c r="B773" s="44"/>
      <c r="C773" s="48"/>
      <c r="D773" s="25"/>
      <c r="E773" s="26"/>
      <c r="F773" s="26"/>
      <c r="G773" s="26"/>
      <c r="H773" s="26"/>
      <c r="I773" s="26"/>
      <c r="J773" s="26"/>
      <c r="K773" s="26"/>
      <c r="L773" s="26"/>
      <c r="M773" s="26"/>
      <c r="N773" s="26"/>
      <c r="O773" s="26"/>
      <c r="P773" s="26"/>
      <c r="Q773" s="26"/>
      <c r="R773" s="27"/>
    </row>
    <row r="774" spans="2:18" x14ac:dyDescent="0.25">
      <c r="B774" s="44"/>
      <c r="C774" s="48"/>
      <c r="D774" s="25"/>
      <c r="E774" s="26"/>
      <c r="F774" s="26"/>
      <c r="G774" s="26"/>
      <c r="H774" s="26"/>
      <c r="I774" s="26"/>
      <c r="J774" s="26"/>
      <c r="K774" s="26"/>
      <c r="L774" s="26"/>
      <c r="M774" s="26"/>
      <c r="N774" s="26"/>
      <c r="O774" s="26"/>
      <c r="P774" s="26"/>
      <c r="Q774" s="26"/>
      <c r="R774" s="27"/>
    </row>
    <row r="775" spans="2:18" x14ac:dyDescent="0.25">
      <c r="B775" s="44"/>
      <c r="C775" s="48"/>
      <c r="D775" s="25"/>
      <c r="E775" s="26"/>
      <c r="F775" s="26"/>
      <c r="G775" s="26"/>
      <c r="H775" s="26"/>
      <c r="I775" s="26"/>
      <c r="J775" s="26"/>
      <c r="K775" s="26"/>
      <c r="L775" s="26"/>
      <c r="M775" s="26"/>
      <c r="N775" s="26"/>
      <c r="O775" s="26"/>
      <c r="P775" s="26"/>
      <c r="Q775" s="26"/>
      <c r="R775" s="27"/>
    </row>
    <row r="776" spans="2:18" ht="16.5" thickBot="1" x14ac:dyDescent="0.3">
      <c r="B776" s="44"/>
      <c r="C776" s="48"/>
      <c r="D776" s="25"/>
      <c r="E776" s="26"/>
      <c r="F776" s="26"/>
      <c r="G776" s="26"/>
      <c r="H776" s="26"/>
      <c r="I776" s="26"/>
      <c r="J776" s="26"/>
      <c r="K776" s="26"/>
      <c r="L776" s="26"/>
      <c r="M776" s="26"/>
      <c r="N776" s="26"/>
      <c r="O776" s="26"/>
      <c r="P776" s="26"/>
      <c r="Q776" s="26"/>
      <c r="R776" s="27"/>
    </row>
    <row r="777" spans="2:18" ht="19.5" thickBot="1" x14ac:dyDescent="0.35">
      <c r="B777" s="32"/>
      <c r="C777" s="302" t="s">
        <v>13</v>
      </c>
      <c r="D777" s="317" t="s">
        <v>7</v>
      </c>
      <c r="E777" s="318" t="s">
        <v>103</v>
      </c>
      <c r="F777" s="318" t="s">
        <v>104</v>
      </c>
      <c r="G777" s="318" t="s">
        <v>105</v>
      </c>
      <c r="H777" s="318" t="s">
        <v>106</v>
      </c>
      <c r="I777" s="318" t="s">
        <v>108</v>
      </c>
      <c r="J777" s="319" t="s">
        <v>268</v>
      </c>
      <c r="K777" s="26" t="s">
        <v>69</v>
      </c>
      <c r="L777" s="26"/>
      <c r="M777" s="26"/>
      <c r="N777" s="26"/>
      <c r="O777" s="26"/>
      <c r="P777" s="26"/>
      <c r="Q777" s="26"/>
      <c r="R777" s="27"/>
    </row>
    <row r="778" spans="2:18" x14ac:dyDescent="0.25">
      <c r="B778" s="32"/>
      <c r="C778" s="272" t="s">
        <v>458</v>
      </c>
      <c r="D778" s="574">
        <f>IF(AND(ISNUMBER(D320),ISNUMBER(D342)),D320/D342,"SIN DATOS")</f>
        <v>21.568149106712109</v>
      </c>
      <c r="E778" s="575">
        <f>IF(AND(ISNUMBER(E320),ISNUMBER(E342)),E320/E342,"SIN DATOS")</f>
        <v>22.310502441977718</v>
      </c>
      <c r="F778" s="575">
        <f>IF(AND(ISNUMBER(F320),ISNUMBER(F342)),F320/F342,"SIN DATOS")</f>
        <v>22.475094110274817</v>
      </c>
      <c r="G778" s="575">
        <f>IF(AND(ISNUMBER(G320),ISNUMBER(G342)),G320/G342,"SIN DATOS")</f>
        <v>24.345397760343285</v>
      </c>
      <c r="H778" s="575" t="e">
        <f>IF(AND(ISNUMBER(H320),ISNUMBER(H342)),H320/H342,"SIN DATOS")</f>
        <v>#DIV/0!</v>
      </c>
      <c r="I778" s="576" t="str">
        <f>IF(AND(ISNUMBER(D778),ISNUMBER(E778),ISNUMBER(F778),ISNUMBER(G778),ISNUMBER(H778)),TREND(D778:H778,D$304:H$304,I$304),"SIN DATOS")</f>
        <v>SIN DATOS</v>
      </c>
      <c r="J778" s="177"/>
      <c r="K778" s="167"/>
      <c r="L778" s="26"/>
      <c r="M778" s="26"/>
      <c r="N778" s="26"/>
      <c r="O778" s="26"/>
      <c r="P778" s="26"/>
      <c r="Q778" s="26"/>
      <c r="R778" s="27"/>
    </row>
    <row r="779" spans="2:18" ht="16.5" thickBot="1" x14ac:dyDescent="0.3">
      <c r="B779" s="32"/>
      <c r="C779" s="186" t="s">
        <v>118</v>
      </c>
      <c r="D779" s="577">
        <f>Sector!F105/Sector!F126</f>
        <v>8.3684701820745389E-2</v>
      </c>
      <c r="E779" s="578">
        <f>Sector!G105/Sector!G126</f>
        <v>0.10218966849394118</v>
      </c>
      <c r="F779" s="578">
        <f>Sector!H105/Sector!H126</f>
        <v>8.0801971624251123E-2</v>
      </c>
      <c r="G779" s="578">
        <f>Sector!I105/Sector!I126</f>
        <v>0.11063279763389575</v>
      </c>
      <c r="H779" s="578">
        <f>Sector!J105/Sector!J126</f>
        <v>0.1284278241987733</v>
      </c>
      <c r="I779" s="579">
        <f>IF(AND(ISNUMBER(D779),ISNUMBER(E779),ISNUMBER(F779),ISNUMBER(G779),ISNUMBER(H779)),TREND(D779:H779,D$304:H$304,I$304),"SIN DATOS")</f>
        <v>0.13052620492312444</v>
      </c>
      <c r="J779" s="176"/>
      <c r="K779" s="167"/>
      <c r="L779" s="26"/>
      <c r="M779" s="26"/>
      <c r="N779" s="26"/>
      <c r="O779" s="26"/>
      <c r="P779" s="26"/>
      <c r="Q779" s="26"/>
      <c r="R779" s="27"/>
    </row>
    <row r="780" spans="2:18" thickBot="1" x14ac:dyDescent="0.3">
      <c r="B780" s="32"/>
      <c r="C780" s="178" t="s">
        <v>457</v>
      </c>
      <c r="D780" s="580" t="str">
        <f t="shared" ref="D780:I780" si="83">IF(D778&gt;=D779,IF(D778=D779,"═","▲"),"▼")</f>
        <v>▲</v>
      </c>
      <c r="E780" s="287" t="str">
        <f t="shared" si="83"/>
        <v>▲</v>
      </c>
      <c r="F780" s="287" t="str">
        <f t="shared" si="83"/>
        <v>▲</v>
      </c>
      <c r="G780" s="287" t="str">
        <f t="shared" si="83"/>
        <v>▲</v>
      </c>
      <c r="H780" s="287" t="e">
        <f t="shared" si="83"/>
        <v>#DIV/0!</v>
      </c>
      <c r="I780" s="288" t="str">
        <f t="shared" si="83"/>
        <v>▲</v>
      </c>
      <c r="J780" s="26"/>
      <c r="K780" s="167"/>
      <c r="L780" s="26"/>
      <c r="M780" s="26"/>
      <c r="N780" s="26"/>
      <c r="O780" s="26"/>
      <c r="P780" s="26"/>
      <c r="Q780" s="26"/>
      <c r="R780" s="27"/>
    </row>
    <row r="781" spans="2:18" x14ac:dyDescent="0.25">
      <c r="B781" s="32"/>
      <c r="C781" s="24"/>
      <c r="D781" s="25"/>
      <c r="E781" s="26"/>
      <c r="F781" s="26"/>
      <c r="G781" s="26"/>
      <c r="H781" s="26"/>
      <c r="I781" s="26"/>
      <c r="J781" s="26"/>
      <c r="K781" s="26"/>
      <c r="L781" s="26"/>
      <c r="M781" s="26"/>
      <c r="N781" s="26"/>
      <c r="O781" s="26"/>
      <c r="P781" s="26"/>
      <c r="Q781" s="26"/>
      <c r="R781" s="27"/>
    </row>
    <row r="782" spans="2:18" x14ac:dyDescent="0.25">
      <c r="B782" s="32"/>
      <c r="C782" s="24"/>
      <c r="D782" s="25"/>
      <c r="E782" s="26"/>
      <c r="F782" s="26"/>
      <c r="G782" s="26"/>
      <c r="H782" s="26"/>
      <c r="I782" s="26"/>
      <c r="J782" s="26"/>
      <c r="K782" s="26"/>
      <c r="L782" s="26"/>
      <c r="M782" s="26"/>
      <c r="N782" s="26"/>
      <c r="O782" s="26"/>
      <c r="P782" s="26"/>
      <c r="Q782" s="26"/>
      <c r="R782" s="27"/>
    </row>
    <row r="783" spans="2:18" x14ac:dyDescent="0.25">
      <c r="B783" s="32"/>
      <c r="C783" s="24"/>
      <c r="D783" s="25"/>
      <c r="E783" s="26"/>
      <c r="F783" s="26"/>
      <c r="G783" s="26"/>
      <c r="H783" s="26"/>
      <c r="I783" s="26"/>
      <c r="J783" s="26"/>
      <c r="K783" s="26"/>
      <c r="L783" s="26"/>
      <c r="M783" s="26"/>
      <c r="N783" s="26"/>
      <c r="O783" s="26"/>
      <c r="P783" s="26"/>
      <c r="Q783" s="26"/>
      <c r="R783" s="27"/>
    </row>
    <row r="784" spans="2:18" x14ac:dyDescent="0.25">
      <c r="B784" s="32"/>
      <c r="C784" s="24"/>
      <c r="D784" s="25"/>
      <c r="E784" s="26"/>
      <c r="F784" s="26"/>
      <c r="G784" s="26"/>
      <c r="H784" s="26"/>
      <c r="I784" s="26"/>
      <c r="J784" s="26"/>
      <c r="K784" s="26"/>
      <c r="L784" s="26"/>
      <c r="M784" s="26"/>
      <c r="N784" s="26"/>
      <c r="O784" s="26"/>
      <c r="P784" s="26"/>
      <c r="Q784" s="26"/>
      <c r="R784" s="27"/>
    </row>
    <row r="785" spans="2:18" x14ac:dyDescent="0.25">
      <c r="B785" s="32"/>
      <c r="C785" s="24"/>
      <c r="D785" s="25"/>
      <c r="E785" s="26"/>
      <c r="F785" s="26"/>
      <c r="G785" s="26"/>
      <c r="H785" s="26"/>
      <c r="I785" s="26"/>
      <c r="J785" s="26"/>
      <c r="K785" s="26"/>
      <c r="L785" s="26"/>
      <c r="M785" s="26"/>
      <c r="N785" s="26"/>
      <c r="O785" s="26"/>
      <c r="P785" s="26"/>
      <c r="Q785" s="26"/>
      <c r="R785" s="27"/>
    </row>
    <row r="786" spans="2:18" x14ac:dyDescent="0.25">
      <c r="B786" s="32"/>
      <c r="C786" s="24"/>
      <c r="D786" s="25"/>
      <c r="E786" s="26"/>
      <c r="F786" s="26"/>
      <c r="G786" s="26"/>
      <c r="H786" s="26"/>
      <c r="I786" s="26"/>
      <c r="J786" s="26"/>
      <c r="K786" s="26"/>
      <c r="L786" s="26"/>
      <c r="M786" s="26"/>
      <c r="N786" s="26"/>
      <c r="O786" s="26"/>
      <c r="P786" s="26"/>
      <c r="Q786" s="26"/>
      <c r="R786" s="27"/>
    </row>
    <row r="787" spans="2:18" x14ac:dyDescent="0.25">
      <c r="B787" s="32"/>
      <c r="C787" s="24"/>
      <c r="D787" s="25"/>
      <c r="E787" s="26"/>
      <c r="F787" s="26"/>
      <c r="G787" s="26"/>
      <c r="H787" s="26"/>
      <c r="I787" s="26"/>
      <c r="J787" s="26"/>
      <c r="K787" s="26"/>
      <c r="L787" s="26"/>
      <c r="M787" s="26"/>
      <c r="N787" s="26"/>
      <c r="O787" s="26"/>
      <c r="P787" s="26"/>
      <c r="Q787" s="26"/>
      <c r="R787" s="27"/>
    </row>
    <row r="788" spans="2:18" x14ac:dyDescent="0.25">
      <c r="B788" s="32"/>
      <c r="C788" s="24"/>
      <c r="D788" s="25"/>
      <c r="E788" s="26"/>
      <c r="F788" s="26"/>
      <c r="G788" s="26"/>
      <c r="H788" s="26"/>
      <c r="I788" s="26"/>
      <c r="J788" s="26"/>
      <c r="K788" s="26"/>
      <c r="L788" s="26"/>
      <c r="M788" s="26"/>
      <c r="N788" s="26"/>
      <c r="O788" s="26"/>
      <c r="P788" s="26"/>
      <c r="Q788" s="26"/>
      <c r="R788" s="27"/>
    </row>
    <row r="789" spans="2:18" x14ac:dyDescent="0.25">
      <c r="B789" s="32"/>
      <c r="C789" s="24"/>
      <c r="D789" s="25"/>
      <c r="E789" s="26"/>
      <c r="F789" s="26"/>
      <c r="G789" s="26"/>
      <c r="H789" s="26"/>
      <c r="I789" s="26"/>
      <c r="J789" s="26"/>
      <c r="K789" s="26"/>
      <c r="L789" s="26"/>
      <c r="M789" s="26"/>
      <c r="N789" s="26"/>
      <c r="O789" s="26"/>
      <c r="P789" s="26"/>
      <c r="Q789" s="26"/>
      <c r="R789" s="27"/>
    </row>
    <row r="790" spans="2:18" x14ac:dyDescent="0.25">
      <c r="B790" s="32"/>
      <c r="C790" s="24"/>
      <c r="D790" s="25"/>
      <c r="E790" s="26"/>
      <c r="F790" s="26"/>
      <c r="G790" s="26"/>
      <c r="H790" s="26"/>
      <c r="I790" s="26"/>
      <c r="J790" s="26"/>
      <c r="K790" s="26"/>
      <c r="L790" s="26"/>
      <c r="M790" s="26"/>
      <c r="N790" s="26"/>
      <c r="O790" s="26"/>
      <c r="P790" s="26"/>
      <c r="Q790" s="26"/>
      <c r="R790" s="27"/>
    </row>
    <row r="791" spans="2:18" x14ac:dyDescent="0.25">
      <c r="B791" s="32"/>
      <c r="C791" s="24"/>
      <c r="D791" s="25"/>
      <c r="E791" s="26"/>
      <c r="F791" s="26"/>
      <c r="G791" s="26"/>
      <c r="H791" s="26"/>
      <c r="I791" s="26"/>
      <c r="J791" s="26"/>
      <c r="K791" s="26"/>
      <c r="L791" s="26"/>
      <c r="M791" s="26"/>
      <c r="N791" s="26"/>
      <c r="O791" s="26"/>
      <c r="P791" s="26"/>
      <c r="Q791" s="26"/>
      <c r="R791" s="27"/>
    </row>
    <row r="792" spans="2:18" x14ac:dyDescent="0.25">
      <c r="B792" s="32"/>
      <c r="C792" s="24"/>
      <c r="D792" s="25"/>
      <c r="E792" s="26"/>
      <c r="F792" s="26"/>
      <c r="G792" s="26"/>
      <c r="H792" s="26"/>
      <c r="I792" s="26"/>
      <c r="J792" s="26"/>
      <c r="K792" s="26"/>
      <c r="L792" s="26"/>
      <c r="M792" s="26"/>
      <c r="N792" s="26"/>
      <c r="O792" s="26"/>
      <c r="P792" s="26"/>
      <c r="Q792" s="26"/>
      <c r="R792" s="27"/>
    </row>
    <row r="793" spans="2:18" ht="16.5" thickBot="1" x14ac:dyDescent="0.3">
      <c r="B793" s="171"/>
      <c r="C793" s="28"/>
      <c r="D793" s="29"/>
      <c r="E793" s="30"/>
      <c r="F793" s="30"/>
      <c r="G793" s="30"/>
      <c r="H793" s="30"/>
      <c r="I793" s="30"/>
      <c r="J793" s="30"/>
      <c r="K793" s="30"/>
      <c r="L793" s="30"/>
      <c r="M793" s="30"/>
      <c r="N793" s="30"/>
      <c r="O793" s="30"/>
      <c r="P793" s="30"/>
      <c r="Q793" s="30"/>
      <c r="R793" s="31"/>
    </row>
    <row r="794" spans="2:18" ht="16.5" thickBot="1" x14ac:dyDescent="0.3">
      <c r="B794" s="131"/>
      <c r="C794" s="10"/>
      <c r="D794" s="9"/>
      <c r="E794" s="8"/>
      <c r="G794" s="9"/>
    </row>
    <row r="795" spans="2:18" ht="21.75" thickBot="1" x14ac:dyDescent="0.4">
      <c r="B795" s="599" t="s">
        <v>840</v>
      </c>
      <c r="C795" s="600"/>
      <c r="D795" s="601"/>
      <c r="E795" s="22"/>
      <c r="F795" s="22"/>
      <c r="G795" s="22"/>
      <c r="H795" s="22"/>
      <c r="I795" s="22"/>
      <c r="J795" s="22"/>
      <c r="K795" s="22"/>
      <c r="L795" s="22"/>
      <c r="M795" s="22"/>
      <c r="N795" s="22"/>
      <c r="O795" s="22"/>
      <c r="P795" s="22"/>
      <c r="Q795" s="22"/>
      <c r="R795" s="23"/>
    </row>
    <row r="796" spans="2:18" ht="15" x14ac:dyDescent="0.25">
      <c r="B796" s="32"/>
      <c r="C796" s="26"/>
      <c r="D796" s="26"/>
      <c r="E796" s="26"/>
      <c r="F796" s="26"/>
      <c r="G796" s="26"/>
      <c r="H796" s="26"/>
      <c r="I796" s="26"/>
      <c r="J796" s="26"/>
      <c r="K796" s="26"/>
      <c r="L796" s="26"/>
      <c r="M796" s="26"/>
      <c r="N796" s="26"/>
      <c r="O796" s="26"/>
      <c r="P796" s="26"/>
      <c r="Q796" s="26"/>
      <c r="R796" s="27"/>
    </row>
    <row r="797" spans="2:18" ht="15" x14ac:dyDescent="0.25">
      <c r="B797" s="32"/>
      <c r="C797" s="26"/>
      <c r="D797" s="26"/>
      <c r="E797" s="26"/>
      <c r="F797" s="26"/>
      <c r="G797" s="26"/>
      <c r="H797" s="26"/>
      <c r="I797" s="26"/>
      <c r="J797" s="26"/>
      <c r="K797" s="26"/>
      <c r="L797" s="26"/>
      <c r="M797" s="26"/>
      <c r="N797" s="26"/>
      <c r="O797" s="26"/>
      <c r="P797" s="26"/>
      <c r="Q797" s="26"/>
      <c r="R797" s="27"/>
    </row>
    <row r="798" spans="2:18" ht="15" x14ac:dyDescent="0.25">
      <c r="B798" s="32"/>
      <c r="C798" s="26"/>
      <c r="D798" s="26"/>
      <c r="E798" s="26"/>
      <c r="F798" s="26"/>
      <c r="G798" s="26"/>
      <c r="H798" s="26"/>
      <c r="I798" s="26"/>
      <c r="J798" s="26"/>
      <c r="K798" s="26"/>
      <c r="L798" s="26"/>
      <c r="M798" s="26"/>
      <c r="N798" s="26"/>
      <c r="O798" s="26"/>
      <c r="P798" s="26"/>
      <c r="Q798" s="26"/>
      <c r="R798" s="27"/>
    </row>
    <row r="799" spans="2:18" ht="15" x14ac:dyDescent="0.25">
      <c r="B799" s="32"/>
      <c r="C799" s="26"/>
      <c r="D799" s="26"/>
      <c r="E799" s="26"/>
      <c r="F799" s="26"/>
      <c r="G799" s="26"/>
      <c r="H799" s="26"/>
      <c r="I799" s="26"/>
      <c r="J799" s="26"/>
      <c r="K799" s="26"/>
      <c r="L799" s="26"/>
      <c r="M799" s="26"/>
      <c r="N799" s="26"/>
      <c r="O799" s="26"/>
      <c r="P799" s="26"/>
      <c r="Q799" s="26"/>
      <c r="R799" s="27"/>
    </row>
    <row r="800" spans="2:18" ht="15" x14ac:dyDescent="0.25">
      <c r="B800" s="32"/>
      <c r="C800" s="26"/>
      <c r="D800" s="26"/>
      <c r="E800" s="26"/>
      <c r="F800" s="26"/>
      <c r="G800" s="26"/>
      <c r="H800" s="26"/>
      <c r="I800" s="26"/>
      <c r="J800" s="26"/>
      <c r="K800" s="26"/>
      <c r="L800" s="26"/>
      <c r="M800" s="26"/>
      <c r="N800" s="26"/>
      <c r="O800" s="26"/>
      <c r="P800" s="26"/>
      <c r="Q800" s="26"/>
      <c r="R800" s="27"/>
    </row>
    <row r="801" spans="2:18" ht="15" x14ac:dyDescent="0.25">
      <c r="B801" s="32"/>
      <c r="C801" s="26"/>
      <c r="D801" s="26"/>
      <c r="E801" s="26"/>
      <c r="F801" s="26"/>
      <c r="G801" s="26"/>
      <c r="H801" s="26"/>
      <c r="I801" s="26"/>
      <c r="J801" s="26"/>
      <c r="K801" s="26"/>
      <c r="L801" s="26"/>
      <c r="M801" s="26"/>
      <c r="N801" s="26"/>
      <c r="O801" s="26"/>
      <c r="P801" s="26"/>
      <c r="Q801" s="26"/>
      <c r="R801" s="27"/>
    </row>
    <row r="802" spans="2:18" ht="15" x14ac:dyDescent="0.25">
      <c r="B802" s="32"/>
      <c r="C802" s="26"/>
      <c r="D802" s="26"/>
      <c r="E802" s="26"/>
      <c r="F802" s="26"/>
      <c r="G802" s="26"/>
      <c r="H802" s="26"/>
      <c r="I802" s="26"/>
      <c r="J802" s="26"/>
      <c r="K802" s="26"/>
      <c r="L802" s="26"/>
      <c r="M802" s="26"/>
      <c r="N802" s="26"/>
      <c r="O802" s="26"/>
      <c r="P802" s="26"/>
      <c r="Q802" s="26"/>
      <c r="R802" s="27"/>
    </row>
    <row r="803" spans="2:18" ht="15" x14ac:dyDescent="0.25">
      <c r="B803" s="32"/>
      <c r="C803" s="26"/>
      <c r="D803" s="26"/>
      <c r="E803" s="26"/>
      <c r="F803" s="26"/>
      <c r="G803" s="26"/>
      <c r="H803" s="26"/>
      <c r="I803" s="26"/>
      <c r="J803" s="26"/>
      <c r="K803" s="26"/>
      <c r="L803" s="26"/>
      <c r="M803" s="26"/>
      <c r="N803" s="26"/>
      <c r="O803" s="26"/>
      <c r="P803" s="26"/>
      <c r="Q803" s="26"/>
      <c r="R803" s="27"/>
    </row>
    <row r="804" spans="2:18" ht="15" x14ac:dyDescent="0.25">
      <c r="B804" s="32"/>
      <c r="C804" s="26"/>
      <c r="D804" s="26"/>
      <c r="E804" s="26"/>
      <c r="F804" s="26"/>
      <c r="G804" s="26"/>
      <c r="H804" s="26"/>
      <c r="I804" s="26"/>
      <c r="J804" s="26"/>
      <c r="K804" s="26"/>
      <c r="L804" s="26"/>
      <c r="M804" s="26"/>
      <c r="N804" s="26"/>
      <c r="O804" s="26"/>
      <c r="P804" s="26"/>
      <c r="Q804" s="26"/>
      <c r="R804" s="27"/>
    </row>
    <row r="805" spans="2:18" ht="15" x14ac:dyDescent="0.25">
      <c r="B805" s="32"/>
      <c r="C805" s="26"/>
      <c r="D805" s="26"/>
      <c r="E805" s="26"/>
      <c r="F805" s="26"/>
      <c r="G805" s="26"/>
      <c r="H805" s="26"/>
      <c r="I805" s="26"/>
      <c r="J805" s="26"/>
      <c r="K805" s="26"/>
      <c r="L805" s="26"/>
      <c r="M805" s="26"/>
      <c r="N805" s="26"/>
      <c r="O805" s="26"/>
      <c r="P805" s="26"/>
      <c r="Q805" s="26"/>
      <c r="R805" s="27"/>
    </row>
    <row r="806" spans="2:18" x14ac:dyDescent="0.25">
      <c r="B806" s="32"/>
      <c r="C806" s="24"/>
      <c r="D806" s="25"/>
      <c r="E806" s="26"/>
      <c r="F806" s="26"/>
      <c r="G806" s="26"/>
      <c r="H806" s="26"/>
      <c r="I806" s="26"/>
      <c r="J806" s="26"/>
      <c r="K806" s="26"/>
      <c r="L806" s="26"/>
      <c r="M806" s="26"/>
      <c r="N806" s="26"/>
      <c r="O806" s="26"/>
      <c r="P806" s="26"/>
      <c r="Q806" s="26"/>
      <c r="R806" s="27"/>
    </row>
    <row r="807" spans="2:18" ht="15" x14ac:dyDescent="0.25">
      <c r="B807" s="32"/>
      <c r="C807" s="24"/>
      <c r="D807" s="24"/>
      <c r="E807" s="24"/>
      <c r="F807" s="24"/>
      <c r="G807" s="24"/>
      <c r="H807" s="24"/>
      <c r="I807" s="24"/>
      <c r="J807" s="24"/>
      <c r="K807" s="26"/>
      <c r="L807" s="26"/>
      <c r="M807" s="26"/>
      <c r="N807" s="26"/>
      <c r="O807" s="26"/>
      <c r="P807" s="26"/>
      <c r="Q807" s="26"/>
      <c r="R807" s="27"/>
    </row>
    <row r="808" spans="2:18" ht="15" x14ac:dyDescent="0.25">
      <c r="B808" s="32"/>
      <c r="C808" s="24"/>
      <c r="D808" s="24"/>
      <c r="E808" s="24"/>
      <c r="F808" s="24"/>
      <c r="G808" s="24"/>
      <c r="H808" s="24"/>
      <c r="I808" s="24"/>
      <c r="J808" s="24"/>
      <c r="K808" s="26"/>
      <c r="L808" s="26"/>
      <c r="M808" s="26"/>
      <c r="N808" s="26"/>
      <c r="O808" s="26"/>
      <c r="P808" s="26"/>
      <c r="Q808" s="26"/>
      <c r="R808" s="27"/>
    </row>
    <row r="809" spans="2:18" ht="15" x14ac:dyDescent="0.25">
      <c r="B809" s="32"/>
      <c r="C809" s="24"/>
      <c r="D809" s="24"/>
      <c r="E809" s="24"/>
      <c r="F809" s="24"/>
      <c r="G809" s="24"/>
      <c r="H809" s="24"/>
      <c r="I809" s="24"/>
      <c r="J809" s="24"/>
      <c r="K809" s="26"/>
      <c r="L809" s="26"/>
      <c r="M809" s="26"/>
      <c r="N809" s="26"/>
      <c r="O809" s="26"/>
      <c r="P809" s="26"/>
      <c r="Q809" s="26"/>
      <c r="R809" s="27"/>
    </row>
    <row r="810" spans="2:18" ht="15" x14ac:dyDescent="0.25">
      <c r="B810" s="32"/>
      <c r="C810" s="24"/>
      <c r="D810" s="24"/>
      <c r="E810" s="24"/>
      <c r="F810" s="24"/>
      <c r="G810" s="24"/>
      <c r="H810" s="24"/>
      <c r="I810" s="24"/>
      <c r="J810" s="24"/>
      <c r="K810" s="26"/>
      <c r="L810" s="26"/>
      <c r="M810" s="26"/>
      <c r="N810" s="26"/>
      <c r="O810" s="26"/>
      <c r="P810" s="26"/>
      <c r="Q810" s="26"/>
      <c r="R810" s="27"/>
    </row>
    <row r="811" spans="2:18" ht="15" x14ac:dyDescent="0.25">
      <c r="B811" s="32"/>
      <c r="C811" s="24"/>
      <c r="D811" s="24"/>
      <c r="E811" s="24"/>
      <c r="F811" s="24"/>
      <c r="G811" s="24"/>
      <c r="H811" s="24"/>
      <c r="I811" s="24"/>
      <c r="J811" s="24"/>
      <c r="K811" s="26"/>
      <c r="L811" s="26"/>
      <c r="M811" s="26"/>
      <c r="N811" s="26"/>
      <c r="O811" s="26"/>
      <c r="P811" s="26"/>
      <c r="Q811" s="26"/>
      <c r="R811" s="27"/>
    </row>
    <row r="812" spans="2:18" ht="15" x14ac:dyDescent="0.25">
      <c r="B812" s="32"/>
      <c r="C812" s="24"/>
      <c r="D812" s="24"/>
      <c r="E812" s="24"/>
      <c r="F812" s="24"/>
      <c r="G812" s="24"/>
      <c r="H812" s="24"/>
      <c r="I812" s="24"/>
      <c r="J812" s="24"/>
      <c r="K812" s="26"/>
      <c r="L812" s="26"/>
      <c r="M812" s="26"/>
      <c r="N812" s="26"/>
      <c r="O812" s="26"/>
      <c r="P812" s="26"/>
      <c r="Q812" s="26"/>
      <c r="R812" s="27"/>
    </row>
    <row r="813" spans="2:18" ht="15" x14ac:dyDescent="0.25">
      <c r="B813" s="32"/>
      <c r="C813" s="24"/>
      <c r="D813" s="24"/>
      <c r="E813" s="24"/>
      <c r="F813" s="24"/>
      <c r="G813" s="24"/>
      <c r="H813" s="24"/>
      <c r="I813" s="24"/>
      <c r="J813" s="24"/>
      <c r="K813" s="26"/>
      <c r="L813" s="26"/>
      <c r="M813" s="26"/>
      <c r="N813" s="26"/>
      <c r="O813" s="26"/>
      <c r="P813" s="26"/>
      <c r="Q813" s="26"/>
      <c r="R813" s="27"/>
    </row>
    <row r="814" spans="2:18" ht="15" x14ac:dyDescent="0.25">
      <c r="B814" s="32"/>
      <c r="C814" s="24"/>
      <c r="D814" s="24"/>
      <c r="E814" s="24"/>
      <c r="F814" s="24"/>
      <c r="G814" s="24"/>
      <c r="H814" s="24"/>
      <c r="I814" s="24"/>
      <c r="J814" s="24"/>
      <c r="K814" s="26"/>
      <c r="L814" s="26"/>
      <c r="M814" s="26"/>
      <c r="N814" s="26"/>
      <c r="O814" s="26"/>
      <c r="P814" s="26"/>
      <c r="Q814" s="26"/>
      <c r="R814" s="27"/>
    </row>
    <row r="815" spans="2:18" ht="15" x14ac:dyDescent="0.25">
      <c r="B815" s="32"/>
      <c r="C815" s="24"/>
      <c r="D815" s="24"/>
      <c r="E815" s="24"/>
      <c r="F815" s="24"/>
      <c r="G815" s="24"/>
      <c r="H815" s="24"/>
      <c r="I815" s="24"/>
      <c r="J815" s="24"/>
      <c r="K815" s="26"/>
      <c r="L815" s="26"/>
      <c r="M815" s="26"/>
      <c r="N815" s="26"/>
      <c r="O815" s="26"/>
      <c r="P815" s="26"/>
      <c r="Q815" s="26"/>
      <c r="R815" s="27"/>
    </row>
    <row r="816" spans="2:18" ht="15" x14ac:dyDescent="0.25">
      <c r="B816" s="32"/>
      <c r="C816" s="24"/>
      <c r="D816" s="24"/>
      <c r="E816" s="24"/>
      <c r="F816" s="24"/>
      <c r="G816" s="24"/>
      <c r="H816" s="24"/>
      <c r="I816" s="24"/>
      <c r="J816" s="24"/>
      <c r="K816" s="26"/>
      <c r="L816" s="26"/>
      <c r="M816" s="26"/>
      <c r="N816" s="26"/>
      <c r="O816" s="26"/>
      <c r="P816" s="26"/>
      <c r="Q816" s="26"/>
      <c r="R816" s="27"/>
    </row>
    <row r="817" spans="2:22" thickBot="1" x14ac:dyDescent="0.3">
      <c r="B817" s="32"/>
      <c r="C817" s="24"/>
      <c r="D817" s="24"/>
      <c r="E817" s="24"/>
      <c r="F817" s="24"/>
      <c r="G817" s="24"/>
      <c r="H817" s="24"/>
      <c r="I817" s="24"/>
      <c r="J817" s="24"/>
      <c r="K817" s="26"/>
      <c r="L817" s="26"/>
      <c r="M817" s="26"/>
      <c r="N817" s="26"/>
      <c r="O817" s="26"/>
      <c r="P817" s="26"/>
      <c r="Q817" s="26"/>
      <c r="R817" s="27"/>
    </row>
    <row r="818" spans="2:22" ht="19.5" thickBot="1" x14ac:dyDescent="0.35">
      <c r="B818" s="32"/>
      <c r="C818" s="302" t="s">
        <v>517</v>
      </c>
      <c r="D818" s="602" t="s">
        <v>713</v>
      </c>
      <c r="E818" s="602" t="s">
        <v>465</v>
      </c>
      <c r="F818" s="602" t="s">
        <v>527</v>
      </c>
      <c r="G818" s="602" t="s">
        <v>523</v>
      </c>
      <c r="H818" s="602" t="s">
        <v>524</v>
      </c>
      <c r="I818" s="603" t="s">
        <v>839</v>
      </c>
      <c r="J818" s="604" t="s">
        <v>526</v>
      </c>
      <c r="K818" s="26"/>
      <c r="L818" s="26"/>
      <c r="M818" s="26"/>
      <c r="N818" s="26"/>
      <c r="O818" s="26"/>
      <c r="P818" s="26"/>
      <c r="Q818" s="26"/>
      <c r="R818" s="27"/>
    </row>
    <row r="819" spans="2:22" x14ac:dyDescent="0.25">
      <c r="B819" s="32"/>
      <c r="C819" s="584" t="s">
        <v>518</v>
      </c>
      <c r="D819" s="581">
        <v>80000</v>
      </c>
      <c r="E819" s="571">
        <f>D819/D$824</f>
        <v>0.37037037037037035</v>
      </c>
      <c r="F819" s="570">
        <v>100000</v>
      </c>
      <c r="G819" s="570">
        <v>350000</v>
      </c>
      <c r="H819" s="570">
        <v>312000</v>
      </c>
      <c r="I819" s="572">
        <f>(G819-H819)/H819</f>
        <v>0.12179487179487179</v>
      </c>
      <c r="J819" s="573">
        <f>D819/G819</f>
        <v>0.22857142857142856</v>
      </c>
      <c r="K819" s="26"/>
      <c r="L819" s="26"/>
      <c r="M819" s="26"/>
      <c r="N819" s="26"/>
      <c r="O819" s="26"/>
      <c r="P819" s="26"/>
      <c r="Q819" s="26"/>
      <c r="R819" s="27"/>
    </row>
    <row r="820" spans="2:22" x14ac:dyDescent="0.25">
      <c r="B820" s="32"/>
      <c r="C820" s="186" t="s">
        <v>519</v>
      </c>
      <c r="D820" s="582">
        <v>70000</v>
      </c>
      <c r="E820" s="241">
        <f>D820/D$824</f>
        <v>0.32407407407407407</v>
      </c>
      <c r="F820" s="238">
        <v>100000</v>
      </c>
      <c r="G820" s="238">
        <v>700000</v>
      </c>
      <c r="H820" s="238">
        <v>625000</v>
      </c>
      <c r="I820" s="242">
        <f t="shared" ref="I820:I823" si="84">(G820-H820)/H820</f>
        <v>0.12</v>
      </c>
      <c r="J820" s="244">
        <f t="shared" ref="J820:J823" si="85">D820/G820</f>
        <v>0.1</v>
      </c>
      <c r="K820" s="26"/>
      <c r="L820" s="26"/>
      <c r="M820" s="26"/>
      <c r="N820" s="26"/>
      <c r="O820" s="26"/>
      <c r="P820" s="26"/>
      <c r="Q820" s="26"/>
      <c r="R820" s="27"/>
    </row>
    <row r="821" spans="2:22" x14ac:dyDescent="0.25">
      <c r="B821" s="32"/>
      <c r="C821" s="186" t="s">
        <v>520</v>
      </c>
      <c r="D821" s="582">
        <v>40000</v>
      </c>
      <c r="E821" s="241">
        <f>D821/D$824</f>
        <v>0.18518518518518517</v>
      </c>
      <c r="F821" s="238">
        <v>150000</v>
      </c>
      <c r="G821" s="238">
        <v>210000</v>
      </c>
      <c r="H821" s="238">
        <v>205000</v>
      </c>
      <c r="I821" s="242">
        <f t="shared" si="84"/>
        <v>2.4390243902439025E-2</v>
      </c>
      <c r="J821" s="244">
        <f>D821/G821</f>
        <v>0.19047619047619047</v>
      </c>
      <c r="K821" s="26"/>
      <c r="L821" s="26"/>
      <c r="M821" s="26"/>
      <c r="N821" s="26"/>
      <c r="O821" s="26"/>
      <c r="P821" s="26"/>
      <c r="Q821" s="26"/>
      <c r="R821" s="27"/>
    </row>
    <row r="822" spans="2:22" x14ac:dyDescent="0.25">
      <c r="B822" s="32"/>
      <c r="C822" s="186" t="s">
        <v>522</v>
      </c>
      <c r="D822" s="582">
        <v>10000</v>
      </c>
      <c r="E822" s="241">
        <f>D822/D$824</f>
        <v>4.6296296296296294E-2</v>
      </c>
      <c r="F822" s="238">
        <v>30000</v>
      </c>
      <c r="G822" s="238">
        <v>60000</v>
      </c>
      <c r="H822" s="238">
        <v>58000</v>
      </c>
      <c r="I822" s="242">
        <f t="shared" si="84"/>
        <v>3.4482758620689655E-2</v>
      </c>
      <c r="J822" s="244">
        <f t="shared" si="85"/>
        <v>0.16666666666666666</v>
      </c>
      <c r="K822" s="26"/>
      <c r="L822" s="26"/>
      <c r="M822" s="26"/>
      <c r="N822" s="26"/>
      <c r="O822" s="26"/>
      <c r="P822" s="26"/>
      <c r="Q822" s="26"/>
      <c r="R822" s="27"/>
    </row>
    <row r="823" spans="2:22" x14ac:dyDescent="0.25">
      <c r="B823" s="32"/>
      <c r="C823" s="186" t="s">
        <v>521</v>
      </c>
      <c r="D823" s="582">
        <f>D353-SUM(D819:D822)</f>
        <v>16000</v>
      </c>
      <c r="E823" s="241">
        <f>D823/D$824</f>
        <v>7.407407407407407E-2</v>
      </c>
      <c r="F823" s="238">
        <v>50000</v>
      </c>
      <c r="G823" s="238">
        <v>200000</v>
      </c>
      <c r="H823" s="238">
        <v>195000</v>
      </c>
      <c r="I823" s="242">
        <f t="shared" si="84"/>
        <v>2.564102564102564E-2</v>
      </c>
      <c r="J823" s="244">
        <f t="shared" si="85"/>
        <v>0.08</v>
      </c>
      <c r="K823" s="26"/>
      <c r="L823" s="26"/>
      <c r="M823" s="26"/>
      <c r="N823" s="26"/>
      <c r="O823" s="26"/>
      <c r="P823" s="26"/>
      <c r="Q823" s="26"/>
      <c r="R823" s="27"/>
    </row>
    <row r="824" spans="2:22" ht="16.5" thickBot="1" x14ac:dyDescent="0.3">
      <c r="B824" s="32"/>
      <c r="C824" s="585" t="s">
        <v>525</v>
      </c>
      <c r="D824" s="583">
        <f>SUM(D819:D823)</f>
        <v>216000</v>
      </c>
      <c r="E824" s="243">
        <f>SUM(E819:E823)</f>
        <v>0.99999999999999989</v>
      </c>
      <c r="F824" s="239">
        <f>SUM(F819:F823)</f>
        <v>430000</v>
      </c>
      <c r="G824" s="239">
        <f>SUM(G819:G823)</f>
        <v>1520000</v>
      </c>
      <c r="H824" s="239">
        <f>SUM(H819:H823)</f>
        <v>1395000</v>
      </c>
      <c r="I824" s="239"/>
      <c r="J824" s="240"/>
      <c r="K824" s="26"/>
      <c r="L824" s="26"/>
      <c r="M824" s="26"/>
      <c r="N824" s="26"/>
      <c r="O824" s="26"/>
      <c r="P824" s="26"/>
      <c r="Q824" s="26"/>
      <c r="R824" s="27"/>
    </row>
    <row r="825" spans="2:22" ht="15" x14ac:dyDescent="0.25">
      <c r="B825" s="32"/>
      <c r="C825" s="26"/>
      <c r="D825" s="26"/>
      <c r="E825" s="26"/>
      <c r="F825" s="26"/>
      <c r="G825" s="26"/>
      <c r="H825" s="26"/>
      <c r="I825" s="26"/>
      <c r="J825" s="26"/>
      <c r="K825" s="26"/>
      <c r="L825" s="26"/>
      <c r="M825" s="26"/>
      <c r="N825" s="26"/>
      <c r="O825" s="26"/>
      <c r="P825" s="26"/>
      <c r="Q825" s="26"/>
      <c r="R825" s="27"/>
    </row>
    <row r="826" spans="2:22" ht="16.5" thickBot="1" x14ac:dyDescent="0.3">
      <c r="B826" s="69"/>
      <c r="C826" s="123"/>
      <c r="D826" s="72"/>
      <c r="E826" s="72"/>
      <c r="F826" s="72"/>
      <c r="G826" s="142"/>
      <c r="H826" s="72"/>
      <c r="I826" s="72"/>
      <c r="J826" s="72"/>
      <c r="K826" s="72"/>
      <c r="L826" s="72"/>
      <c r="M826" s="72"/>
      <c r="N826" s="72"/>
      <c r="O826" s="72"/>
      <c r="P826" s="72"/>
      <c r="Q826" s="72"/>
      <c r="R826" s="79"/>
    </row>
    <row r="827" spans="2:22" ht="16.5" thickBot="1" x14ac:dyDescent="0.3">
      <c r="B827" s="131"/>
      <c r="C827" s="10"/>
      <c r="D827" s="9"/>
      <c r="E827" s="8"/>
      <c r="G827" s="9"/>
    </row>
    <row r="828" spans="2:22" s="10" customFormat="1" ht="21.75" thickBot="1" x14ac:dyDescent="0.4">
      <c r="B828" s="605" t="str">
        <f>(Modelo!F23)</f>
        <v>Recursos humanos</v>
      </c>
      <c r="C828" s="20"/>
      <c r="D828" s="606"/>
      <c r="F828" s="131"/>
      <c r="G828" s="131"/>
      <c r="H828" s="131"/>
      <c r="I828" s="131"/>
      <c r="J828" s="131"/>
      <c r="K828" s="131"/>
      <c r="L828" s="131"/>
      <c r="M828" s="131"/>
      <c r="N828" s="131"/>
      <c r="O828" s="131"/>
      <c r="P828" s="131"/>
      <c r="Q828" s="131"/>
      <c r="R828" s="131"/>
      <c r="S828" s="131"/>
      <c r="T828" s="131"/>
      <c r="U828" s="131"/>
      <c r="V828" s="131"/>
    </row>
    <row r="829" spans="2:22" ht="15" x14ac:dyDescent="0.25">
      <c r="B829" s="131"/>
      <c r="C829" s="131"/>
      <c r="D829" s="131"/>
    </row>
    <row r="830" spans="2:22" ht="15" x14ac:dyDescent="0.25">
      <c r="B830" s="131"/>
      <c r="C830" s="131"/>
      <c r="D830" s="131"/>
    </row>
    <row r="831" spans="2:22" ht="15" x14ac:dyDescent="0.25">
      <c r="B831" s="131"/>
      <c r="C831" s="131"/>
      <c r="D831" s="131"/>
    </row>
    <row r="832" spans="2:22" ht="15" x14ac:dyDescent="0.25">
      <c r="B832" s="131"/>
      <c r="C832" s="131"/>
      <c r="D832" s="131"/>
    </row>
    <row r="833" spans="2:18" ht="15" x14ac:dyDescent="0.25">
      <c r="B833" s="131"/>
      <c r="C833" s="131"/>
      <c r="D833" s="131"/>
    </row>
    <row r="834" spans="2:18" ht="15" x14ac:dyDescent="0.25">
      <c r="B834" s="131"/>
      <c r="C834" s="131"/>
      <c r="D834" s="131"/>
    </row>
    <row r="835" spans="2:18" ht="15" x14ac:dyDescent="0.25">
      <c r="B835" s="131"/>
      <c r="C835" s="131"/>
      <c r="D835" s="131"/>
    </row>
    <row r="836" spans="2:18" ht="15" x14ac:dyDescent="0.25">
      <c r="B836" s="131"/>
      <c r="C836" s="131"/>
      <c r="D836" s="131"/>
    </row>
    <row r="837" spans="2:18" thickBot="1" x14ac:dyDescent="0.3">
      <c r="B837" s="131"/>
      <c r="C837" s="131"/>
      <c r="D837" s="131"/>
    </row>
    <row r="838" spans="2:18" ht="21.75" thickBot="1" x14ac:dyDescent="0.4">
      <c r="B838" s="200" t="s">
        <v>529</v>
      </c>
      <c r="C838" s="200"/>
      <c r="D838" s="601"/>
      <c r="E838" s="22"/>
      <c r="F838" s="22"/>
      <c r="G838" s="22"/>
      <c r="H838" s="22"/>
      <c r="I838" s="22"/>
      <c r="J838" s="22"/>
      <c r="K838" s="22"/>
      <c r="L838" s="22"/>
      <c r="M838" s="22"/>
      <c r="N838" s="22"/>
      <c r="O838" s="22"/>
      <c r="P838" s="22"/>
      <c r="Q838" s="22"/>
      <c r="R838" s="23"/>
    </row>
    <row r="839" spans="2:18" x14ac:dyDescent="0.25">
      <c r="B839" s="32"/>
      <c r="C839" s="24"/>
      <c r="D839" s="25"/>
      <c r="E839" s="26"/>
      <c r="F839" s="26"/>
      <c r="G839" s="26"/>
      <c r="H839" s="26"/>
      <c r="I839" s="26"/>
      <c r="J839" s="26"/>
      <c r="K839" s="26"/>
      <c r="L839" s="26"/>
      <c r="M839" s="26"/>
      <c r="N839" s="26"/>
      <c r="O839" s="26"/>
      <c r="P839" s="26"/>
      <c r="Q839" s="26"/>
      <c r="R839" s="27"/>
    </row>
    <row r="840" spans="2:18" x14ac:dyDescent="0.25">
      <c r="B840" s="32"/>
      <c r="C840" s="24"/>
      <c r="D840" s="25"/>
      <c r="E840" s="26"/>
      <c r="F840" s="26"/>
      <c r="G840" s="26"/>
      <c r="H840" s="26"/>
      <c r="I840" s="26"/>
      <c r="J840" s="26"/>
      <c r="K840" s="26"/>
      <c r="L840" s="26"/>
      <c r="M840" s="26"/>
      <c r="N840" s="26"/>
      <c r="O840" s="26"/>
      <c r="P840" s="26"/>
      <c r="Q840" s="26"/>
      <c r="R840" s="27"/>
    </row>
    <row r="841" spans="2:18" x14ac:dyDescent="0.25">
      <c r="B841" s="32"/>
      <c r="C841" s="24"/>
      <c r="D841" s="25"/>
      <c r="E841" s="26"/>
      <c r="F841" s="26"/>
      <c r="G841" s="26"/>
      <c r="H841" s="26"/>
      <c r="I841" s="26"/>
      <c r="J841" s="26"/>
      <c r="K841" s="26"/>
      <c r="L841" s="26"/>
      <c r="M841" s="26"/>
      <c r="N841" s="26"/>
      <c r="O841" s="26"/>
      <c r="P841" s="26"/>
      <c r="Q841" s="26"/>
      <c r="R841" s="27"/>
    </row>
    <row r="842" spans="2:18" x14ac:dyDescent="0.25">
      <c r="B842" s="32"/>
      <c r="C842" s="24"/>
      <c r="D842" s="25"/>
      <c r="E842" s="26"/>
      <c r="F842" s="26"/>
      <c r="G842" s="26"/>
      <c r="H842" s="26"/>
      <c r="I842" s="26"/>
      <c r="J842" s="26"/>
      <c r="K842" s="26"/>
      <c r="L842" s="26"/>
      <c r="M842" s="26"/>
      <c r="N842" s="26"/>
      <c r="O842" s="26"/>
      <c r="P842" s="26"/>
      <c r="Q842" s="26"/>
      <c r="R842" s="27"/>
    </row>
    <row r="843" spans="2:18" x14ac:dyDescent="0.25">
      <c r="B843" s="32"/>
      <c r="C843" s="24"/>
      <c r="D843" s="25"/>
      <c r="E843" s="26"/>
      <c r="F843" s="26"/>
      <c r="G843" s="26"/>
      <c r="H843" s="26"/>
      <c r="I843" s="26"/>
      <c r="J843" s="26"/>
      <c r="K843" s="26"/>
      <c r="L843" s="26"/>
      <c r="M843" s="26"/>
      <c r="N843" s="26"/>
      <c r="O843" s="26"/>
      <c r="P843" s="26"/>
      <c r="Q843" s="26"/>
      <c r="R843" s="27"/>
    </row>
    <row r="844" spans="2:18" ht="16.5" thickBot="1" x14ac:dyDescent="0.3">
      <c r="B844" s="32"/>
      <c r="C844" s="24"/>
      <c r="D844" s="25"/>
      <c r="E844" s="26"/>
      <c r="F844" s="26"/>
      <c r="G844" s="26"/>
      <c r="H844" s="26"/>
      <c r="I844" s="26"/>
      <c r="J844" s="26"/>
      <c r="K844" s="26"/>
      <c r="L844" s="26"/>
      <c r="M844" s="26"/>
      <c r="N844" s="26"/>
      <c r="O844" s="26"/>
      <c r="P844" s="26"/>
      <c r="Q844" s="26"/>
      <c r="R844" s="27"/>
    </row>
    <row r="845" spans="2:18" ht="19.5" thickBot="1" x14ac:dyDescent="0.35">
      <c r="B845" s="32"/>
      <c r="C845" s="302" t="s">
        <v>574</v>
      </c>
      <c r="D845" s="607" t="s">
        <v>7</v>
      </c>
      <c r="E845" s="607" t="s">
        <v>103</v>
      </c>
      <c r="F845" s="607" t="s">
        <v>104</v>
      </c>
      <c r="G845" s="607" t="s">
        <v>105</v>
      </c>
      <c r="H845" s="607" t="s">
        <v>106</v>
      </c>
      <c r="I845" s="607" t="s">
        <v>108</v>
      </c>
      <c r="J845" s="607" t="s">
        <v>268</v>
      </c>
      <c r="K845" s="26"/>
      <c r="L845" s="26"/>
      <c r="M845" s="26"/>
      <c r="N845" s="26"/>
      <c r="O845" s="26"/>
      <c r="P845" s="26"/>
      <c r="Q845" s="26"/>
      <c r="R845" s="27"/>
    </row>
    <row r="846" spans="2:18" x14ac:dyDescent="0.25">
      <c r="B846" s="32"/>
      <c r="C846" s="332" t="s">
        <v>58</v>
      </c>
      <c r="D846" s="587">
        <f>IF(ISNUMBER(D378),D378,"SIN DATOS")</f>
        <v>4</v>
      </c>
      <c r="E846" s="587">
        <f>IF(ISNUMBER(E378),E378,"SIN DATOS")</f>
        <v>4</v>
      </c>
      <c r="F846" s="587">
        <f>IF(ISNUMBER(F378),F378,"SIN DATOS")</f>
        <v>4</v>
      </c>
      <c r="G846" s="587">
        <f>IF(ISNUMBER(G378),G378,"SIN DATOS")</f>
        <v>4</v>
      </c>
      <c r="H846" s="587">
        <f>IF(ISNUMBER(H378),H378,"SIN DATOS")</f>
        <v>4</v>
      </c>
      <c r="I846" s="588">
        <f t="shared" ref="I846:I856" si="86">IF(AND(ISNUMBER(D846),ISNUMBER(E846),ISNUMBER(F846),ISNUMBER(G846),ISNUMBER(H846)),TREND(D846:H846,D$304:H$304,I$304),"SIN DATOS")</f>
        <v>4</v>
      </c>
      <c r="J846" s="446"/>
      <c r="K846" s="26"/>
      <c r="L846" s="26"/>
      <c r="M846" s="26"/>
      <c r="N846" s="26"/>
      <c r="O846" s="26"/>
      <c r="P846" s="26"/>
      <c r="Q846" s="26"/>
      <c r="R846" s="27"/>
    </row>
    <row r="847" spans="2:18" x14ac:dyDescent="0.25">
      <c r="B847" s="32"/>
      <c r="C847" s="205" t="s">
        <v>589</v>
      </c>
      <c r="D847" s="269"/>
      <c r="E847" s="269"/>
      <c r="F847" s="269"/>
      <c r="G847" s="269"/>
      <c r="H847" s="269"/>
      <c r="I847" s="266" t="str">
        <f t="shared" si="86"/>
        <v>SIN DATOS</v>
      </c>
      <c r="J847" s="206"/>
      <c r="K847" s="26"/>
      <c r="L847" s="26"/>
      <c r="M847" s="26"/>
      <c r="N847" s="26"/>
      <c r="O847" s="26"/>
      <c r="P847" s="26"/>
      <c r="Q847" s="26"/>
      <c r="R847" s="27"/>
    </row>
    <row r="848" spans="2:18" x14ac:dyDescent="0.25">
      <c r="B848" s="32"/>
      <c r="C848" s="205" t="s">
        <v>590</v>
      </c>
      <c r="D848" s="269"/>
      <c r="E848" s="269"/>
      <c r="F848" s="269"/>
      <c r="G848" s="269"/>
      <c r="H848" s="269"/>
      <c r="I848" s="266" t="str">
        <f t="shared" si="86"/>
        <v>SIN DATOS</v>
      </c>
      <c r="J848" s="206"/>
      <c r="K848" s="26"/>
      <c r="L848" s="26"/>
      <c r="M848" s="26"/>
      <c r="N848" s="26"/>
      <c r="O848" s="26"/>
      <c r="P848" s="26"/>
      <c r="Q848" s="26"/>
      <c r="R848" s="27"/>
    </row>
    <row r="849" spans="2:18" x14ac:dyDescent="0.25">
      <c r="B849" s="32"/>
      <c r="C849" s="205" t="s">
        <v>712</v>
      </c>
      <c r="D849" s="269"/>
      <c r="E849" s="269"/>
      <c r="F849" s="269"/>
      <c r="G849" s="269"/>
      <c r="H849" s="269"/>
      <c r="I849" s="266" t="str">
        <f t="shared" si="86"/>
        <v>SIN DATOS</v>
      </c>
      <c r="J849" s="206"/>
      <c r="K849" s="26"/>
      <c r="L849" s="26"/>
      <c r="M849" s="26"/>
      <c r="N849" s="26"/>
      <c r="O849" s="26"/>
      <c r="P849" s="26"/>
      <c r="Q849" s="26"/>
      <c r="R849" s="27"/>
    </row>
    <row r="850" spans="2:18" x14ac:dyDescent="0.25">
      <c r="B850" s="32"/>
      <c r="C850" s="205" t="s">
        <v>591</v>
      </c>
      <c r="D850" s="269"/>
      <c r="E850" s="269"/>
      <c r="F850" s="269"/>
      <c r="G850" s="269"/>
      <c r="H850" s="269"/>
      <c r="I850" s="266" t="str">
        <f t="shared" si="86"/>
        <v>SIN DATOS</v>
      </c>
      <c r="J850" s="206"/>
      <c r="K850" s="26"/>
      <c r="L850" s="26"/>
      <c r="M850" s="26"/>
      <c r="N850" s="26"/>
      <c r="O850" s="26"/>
      <c r="P850" s="26"/>
      <c r="Q850" s="26"/>
      <c r="R850" s="27"/>
    </row>
    <row r="851" spans="2:18" x14ac:dyDescent="0.25">
      <c r="B851" s="32"/>
      <c r="C851" s="205" t="s">
        <v>592</v>
      </c>
      <c r="D851" s="269"/>
      <c r="E851" s="269"/>
      <c r="F851" s="269"/>
      <c r="G851" s="269"/>
      <c r="H851" s="269"/>
      <c r="I851" s="266" t="str">
        <f t="shared" si="86"/>
        <v>SIN DATOS</v>
      </c>
      <c r="J851" s="206"/>
      <c r="K851" s="26"/>
      <c r="L851" s="26"/>
      <c r="M851" s="26"/>
      <c r="N851" s="26"/>
      <c r="O851" s="26"/>
      <c r="P851" s="26"/>
      <c r="Q851" s="26"/>
      <c r="R851" s="27"/>
    </row>
    <row r="852" spans="2:18" x14ac:dyDescent="0.25">
      <c r="B852" s="32"/>
      <c r="C852" s="205" t="s">
        <v>593</v>
      </c>
      <c r="D852" s="269"/>
      <c r="E852" s="269"/>
      <c r="F852" s="269"/>
      <c r="G852" s="269"/>
      <c r="H852" s="269"/>
      <c r="I852" s="266" t="str">
        <f t="shared" si="86"/>
        <v>SIN DATOS</v>
      </c>
      <c r="J852" s="206"/>
      <c r="K852" s="26"/>
      <c r="L852" s="26"/>
      <c r="M852" s="26"/>
      <c r="N852" s="26"/>
      <c r="O852" s="26"/>
      <c r="P852" s="26"/>
      <c r="Q852" s="26"/>
      <c r="R852" s="27"/>
    </row>
    <row r="853" spans="2:18" x14ac:dyDescent="0.25">
      <c r="B853" s="32"/>
      <c r="C853" s="205" t="s">
        <v>208</v>
      </c>
      <c r="D853" s="589">
        <f>IF(AND(ISNUMBER(D379),ISNUMBER(D378)),D379/D378,"SIN DATOS")</f>
        <v>0.25</v>
      </c>
      <c r="E853" s="589">
        <f>IF(AND(ISNUMBER(E379),ISNUMBER(E378)),E379/E378,"SIN DATOS")</f>
        <v>0.25</v>
      </c>
      <c r="F853" s="589">
        <f>IF(AND(ISNUMBER(F379),ISNUMBER(F378)),F379/F378,"SIN DATOS")</f>
        <v>0.25</v>
      </c>
      <c r="G853" s="589">
        <f>IF(AND(ISNUMBER(G379),ISNUMBER(G378)),G379/G378,"SIN DATOS")</f>
        <v>0.25</v>
      </c>
      <c r="H853" s="589">
        <f>IF(AND(ISNUMBER(H379),ISNUMBER(H378)),H379/H378,"SIN DATOS")</f>
        <v>0.25</v>
      </c>
      <c r="I853" s="590">
        <f t="shared" si="86"/>
        <v>0.25</v>
      </c>
      <c r="J853" s="206"/>
      <c r="K853" s="26" t="s">
        <v>246</v>
      </c>
      <c r="L853" s="26"/>
      <c r="M853" s="26"/>
      <c r="N853" s="26"/>
      <c r="O853" s="26"/>
      <c r="P853" s="26"/>
      <c r="Q853" s="26"/>
      <c r="R853" s="27"/>
    </row>
    <row r="854" spans="2:18" x14ac:dyDescent="0.25">
      <c r="B854" s="32"/>
      <c r="C854" s="205" t="s">
        <v>204</v>
      </c>
      <c r="D854" s="589" t="str">
        <f>IF(AND(ISNUMBER(D380),ISNUMBER(D378)),D380/D378,"SIN DATOS")</f>
        <v>SIN DATOS</v>
      </c>
      <c r="E854" s="589" t="str">
        <f>IF(AND(ISNUMBER(E380),ISNUMBER(E378)),E380/E378,"SIN DATOS")</f>
        <v>SIN DATOS</v>
      </c>
      <c r="F854" s="589" t="str">
        <f>IF(AND(ISNUMBER(F380),ISNUMBER(F378)),F380/F378,"SIN DATOS")</f>
        <v>SIN DATOS</v>
      </c>
      <c r="G854" s="589" t="str">
        <f>IF(AND(ISNUMBER(G380),ISNUMBER(G378)),G380/G378,"SIN DATOS")</f>
        <v>SIN DATOS</v>
      </c>
      <c r="H854" s="589" t="str">
        <f>IF(AND(ISNUMBER(H380),ISNUMBER(H378)),H380/H378,"SIN DATOS")</f>
        <v>SIN DATOS</v>
      </c>
      <c r="I854" s="590" t="str">
        <f t="shared" si="86"/>
        <v>SIN DATOS</v>
      </c>
      <c r="J854" s="206"/>
      <c r="K854" s="26" t="s">
        <v>202</v>
      </c>
      <c r="L854" s="26"/>
      <c r="M854" s="26"/>
      <c r="N854" s="26"/>
      <c r="O854" s="26"/>
      <c r="P854" s="26"/>
      <c r="Q854" s="26"/>
      <c r="R854" s="27"/>
    </row>
    <row r="855" spans="2:18" x14ac:dyDescent="0.25">
      <c r="B855" s="32"/>
      <c r="C855" s="205" t="s">
        <v>203</v>
      </c>
      <c r="D855" s="589" t="str">
        <f>IF(AND(ISNUMBER(D381),ISNUMBER(D378)),D381/D378,"SIN DATOS")</f>
        <v>SIN DATOS</v>
      </c>
      <c r="E855" s="589" t="str">
        <f>IF(AND(ISNUMBER(E381),ISNUMBER(E378)),E381/E378,"SIN DATOS")</f>
        <v>SIN DATOS</v>
      </c>
      <c r="F855" s="589" t="str">
        <f>IF(AND(ISNUMBER(F381),ISNUMBER(F378)),F381/F378,"SIN DATOS")</f>
        <v>SIN DATOS</v>
      </c>
      <c r="G855" s="589" t="str">
        <f>IF(AND(ISNUMBER(G381),ISNUMBER(G378)),G381/G378,"SIN DATOS")</f>
        <v>SIN DATOS</v>
      </c>
      <c r="H855" s="589" t="str">
        <f>IF(AND(ISNUMBER(H381),ISNUMBER(H378)),H381/H378,"SIN DATOS")</f>
        <v>SIN DATOS</v>
      </c>
      <c r="I855" s="590" t="str">
        <f t="shared" si="86"/>
        <v>SIN DATOS</v>
      </c>
      <c r="J855" s="206"/>
      <c r="K855" s="26" t="s">
        <v>209</v>
      </c>
      <c r="L855" s="26"/>
      <c r="M855" s="26"/>
      <c r="N855" s="26"/>
      <c r="O855" s="26"/>
      <c r="P855" s="26"/>
      <c r="Q855" s="26"/>
      <c r="R855" s="27"/>
    </row>
    <row r="856" spans="2:18" ht="16.5" thickBot="1" x14ac:dyDescent="0.3">
      <c r="B856" s="32"/>
      <c r="C856" s="207" t="s">
        <v>136</v>
      </c>
      <c r="D856" s="270">
        <v>40</v>
      </c>
      <c r="E856" s="270">
        <v>41</v>
      </c>
      <c r="F856" s="270">
        <v>42</v>
      </c>
      <c r="G856" s="270">
        <v>43</v>
      </c>
      <c r="H856" s="270">
        <v>44</v>
      </c>
      <c r="I856" s="271">
        <f t="shared" si="86"/>
        <v>45</v>
      </c>
      <c r="J856" s="208"/>
      <c r="K856" s="26" t="s">
        <v>199</v>
      </c>
      <c r="L856" s="26"/>
      <c r="M856" s="26"/>
      <c r="N856" s="26"/>
      <c r="O856" s="26"/>
      <c r="P856" s="26"/>
      <c r="Q856" s="26"/>
      <c r="R856" s="27"/>
    </row>
    <row r="857" spans="2:18" thickBot="1" x14ac:dyDescent="0.3">
      <c r="B857" s="32"/>
      <c r="C857" s="26"/>
      <c r="D857" s="26"/>
      <c r="E857" s="26"/>
      <c r="F857" s="26"/>
      <c r="G857" s="26"/>
      <c r="H857" s="26"/>
      <c r="I857" s="26"/>
      <c r="J857" s="26"/>
      <c r="K857" s="26"/>
      <c r="L857" s="26"/>
      <c r="M857" s="26"/>
      <c r="N857" s="26"/>
      <c r="O857" s="26"/>
      <c r="P857" s="26"/>
      <c r="Q857" s="26"/>
      <c r="R857" s="27"/>
    </row>
    <row r="858" spans="2:18" ht="19.5" thickBot="1" x14ac:dyDescent="0.35">
      <c r="B858" s="32"/>
      <c r="C858" s="608" t="s">
        <v>573</v>
      </c>
      <c r="D858" s="609" t="s">
        <v>7</v>
      </c>
      <c r="E858" s="610" t="s">
        <v>103</v>
      </c>
      <c r="F858" s="610" t="s">
        <v>104</v>
      </c>
      <c r="G858" s="610" t="s">
        <v>105</v>
      </c>
      <c r="H858" s="610" t="s">
        <v>106</v>
      </c>
      <c r="I858" s="611" t="s">
        <v>108</v>
      </c>
      <c r="J858" s="612" t="s">
        <v>268</v>
      </c>
      <c r="K858" s="26"/>
      <c r="L858" s="26"/>
      <c r="M858" s="26"/>
      <c r="N858" s="26"/>
      <c r="O858" s="26"/>
      <c r="P858" s="26"/>
      <c r="Q858" s="26"/>
      <c r="R858" s="27"/>
    </row>
    <row r="859" spans="2:18" x14ac:dyDescent="0.25">
      <c r="B859" s="32"/>
      <c r="C859" s="332" t="s">
        <v>594</v>
      </c>
      <c r="D859" s="591">
        <v>0.33300000000000002</v>
      </c>
      <c r="E859" s="591">
        <v>0.33300000000000002</v>
      </c>
      <c r="F859" s="591">
        <v>0.33300000000000002</v>
      </c>
      <c r="G859" s="591">
        <v>0.33300000000000002</v>
      </c>
      <c r="H859" s="591">
        <v>0.33300000000000002</v>
      </c>
      <c r="I859" s="592">
        <f>IF(AND(ISNUMBER(D859),ISNUMBER(E859),ISNUMBER(F859),ISNUMBER(G859),ISNUMBER(H859)),TREND(D859:H859,D$304:H$304,I$304),"SIN DATOS")</f>
        <v>0.33300000000000002</v>
      </c>
      <c r="J859" s="446"/>
      <c r="K859" s="26"/>
      <c r="L859" s="26"/>
      <c r="M859" s="26"/>
      <c r="N859" s="26"/>
      <c r="O859" s="26"/>
      <c r="P859" s="26"/>
      <c r="Q859" s="26"/>
      <c r="R859" s="27"/>
    </row>
    <row r="860" spans="2:18" x14ac:dyDescent="0.25">
      <c r="B860" s="32"/>
      <c r="C860" s="205" t="s">
        <v>133</v>
      </c>
      <c r="D860" s="593">
        <v>0.33</v>
      </c>
      <c r="E860" s="593">
        <v>0.33</v>
      </c>
      <c r="F860" s="593">
        <v>0.33</v>
      </c>
      <c r="G860" s="593">
        <v>0.33</v>
      </c>
      <c r="H860" s="593">
        <v>0.33</v>
      </c>
      <c r="I860" s="590">
        <f>IF(AND(ISNUMBER(D860),ISNUMBER(E860),ISNUMBER(F860),ISNUMBER(G860),ISNUMBER(H860)),TREND(D860:H860,D$304:H$304,I$304),"SIN DATOS")</f>
        <v>0.33</v>
      </c>
      <c r="J860" s="206"/>
      <c r="K860" s="26" t="s">
        <v>196</v>
      </c>
      <c r="L860" s="26"/>
      <c r="M860" s="26"/>
      <c r="N860" s="26"/>
      <c r="O860" s="26"/>
      <c r="P860" s="26"/>
      <c r="Q860" s="26"/>
      <c r="R860" s="27"/>
    </row>
    <row r="861" spans="2:18" x14ac:dyDescent="0.25">
      <c r="B861" s="32"/>
      <c r="C861" s="205" t="s">
        <v>134</v>
      </c>
      <c r="D861" s="593"/>
      <c r="E861" s="593"/>
      <c r="F861" s="593"/>
      <c r="G861" s="593"/>
      <c r="H861" s="593"/>
      <c r="I861" s="590" t="str">
        <f>IF(AND(ISNUMBER(D861),ISNUMBER(E861),ISNUMBER(F861),ISNUMBER(G861),ISNUMBER(H861)),TREND(D861:H861,D$304:H$304,I$304),"SIN DATOS")</f>
        <v>SIN DATOS</v>
      </c>
      <c r="J861" s="206"/>
      <c r="K861" s="26" t="s">
        <v>197</v>
      </c>
      <c r="L861" s="26"/>
      <c r="M861" s="26"/>
      <c r="N861" s="26"/>
      <c r="O861" s="26"/>
      <c r="P861" s="26"/>
      <c r="Q861" s="26"/>
      <c r="R861" s="27"/>
    </row>
    <row r="862" spans="2:18" ht="16.5" thickBot="1" x14ac:dyDescent="0.3">
      <c r="B862" s="32"/>
      <c r="C862" s="207" t="s">
        <v>135</v>
      </c>
      <c r="D862" s="267">
        <f>1-SUM(D859:D861)</f>
        <v>0.33699999999999997</v>
      </c>
      <c r="E862" s="267">
        <f t="shared" ref="E862:H862" si="87">1-SUM(E859:E861)</f>
        <v>0.33699999999999997</v>
      </c>
      <c r="F862" s="267">
        <f t="shared" si="87"/>
        <v>0.33699999999999997</v>
      </c>
      <c r="G862" s="267">
        <f t="shared" si="87"/>
        <v>0.33699999999999997</v>
      </c>
      <c r="H862" s="267">
        <f t="shared" si="87"/>
        <v>0.33699999999999997</v>
      </c>
      <c r="I862" s="268">
        <f>IF(AND(ISNUMBER(D862),ISNUMBER(E862),ISNUMBER(F862),ISNUMBER(G862),ISNUMBER(H862)),TREND(D862:H862,D$304:H$304,I$304),"SIN DATOS")</f>
        <v>0.33699999999999997</v>
      </c>
      <c r="J862" s="208"/>
      <c r="K862" s="26" t="s">
        <v>198</v>
      </c>
      <c r="L862" s="26"/>
      <c r="M862" s="26"/>
      <c r="N862" s="26"/>
      <c r="O862" s="26"/>
      <c r="P862" s="26"/>
      <c r="Q862" s="26"/>
      <c r="R862" s="27"/>
    </row>
    <row r="863" spans="2:18" s="65" customFormat="1" ht="16.5" thickBot="1" x14ac:dyDescent="0.3">
      <c r="B863" s="69"/>
      <c r="C863" s="123"/>
      <c r="D863" s="72"/>
      <c r="E863" s="72"/>
      <c r="F863" s="72"/>
      <c r="G863" s="142"/>
      <c r="H863" s="72"/>
      <c r="I863" s="72"/>
      <c r="J863" s="72"/>
      <c r="K863" s="72"/>
      <c r="L863" s="72"/>
      <c r="M863" s="72"/>
      <c r="N863" s="72"/>
      <c r="O863" s="72"/>
      <c r="P863" s="72"/>
      <c r="Q863" s="72"/>
      <c r="R863" s="79"/>
    </row>
    <row r="864" spans="2:18" ht="15" x14ac:dyDescent="0.25">
      <c r="B864" s="131"/>
      <c r="C864" s="131"/>
      <c r="D864" s="131"/>
    </row>
    <row r="865" spans="2:18" thickBot="1" x14ac:dyDescent="0.3">
      <c r="B865" s="131"/>
      <c r="C865" s="131"/>
      <c r="D865" s="131"/>
    </row>
    <row r="866" spans="2:18" ht="21.75" thickBot="1" x14ac:dyDescent="0.4">
      <c r="B866" s="200" t="s">
        <v>459</v>
      </c>
      <c r="C866" s="36"/>
      <c r="D866" s="174"/>
      <c r="E866" s="174"/>
      <c r="F866" s="174"/>
      <c r="G866" s="174"/>
      <c r="H866" s="174"/>
      <c r="I866" s="174"/>
      <c r="J866" s="174"/>
      <c r="K866" s="175"/>
      <c r="L866" s="22"/>
      <c r="M866" s="22"/>
      <c r="N866" s="22"/>
      <c r="O866" s="22"/>
      <c r="P866" s="22"/>
      <c r="Q866" s="22"/>
      <c r="R866" s="23"/>
    </row>
    <row r="867" spans="2:18" x14ac:dyDescent="0.25">
      <c r="B867" s="32"/>
      <c r="C867" s="24"/>
      <c r="D867" s="25"/>
      <c r="E867" s="26"/>
      <c r="F867" s="26"/>
      <c r="G867" s="26"/>
      <c r="H867" s="26"/>
      <c r="I867" s="26"/>
      <c r="J867" s="26"/>
      <c r="K867" s="26"/>
      <c r="L867" s="26"/>
      <c r="M867" s="26"/>
      <c r="N867" s="26"/>
      <c r="O867" s="26"/>
      <c r="P867" s="26"/>
      <c r="Q867" s="26"/>
      <c r="R867" s="27"/>
    </row>
    <row r="868" spans="2:18" x14ac:dyDescent="0.25">
      <c r="B868" s="32"/>
      <c r="C868" s="24"/>
      <c r="D868" s="25"/>
      <c r="E868" s="26"/>
      <c r="F868" s="26"/>
      <c r="G868" s="26"/>
      <c r="H868" s="26"/>
      <c r="I868" s="26"/>
      <c r="J868" s="26"/>
      <c r="K868" s="26"/>
      <c r="L868" s="26"/>
      <c r="M868" s="26"/>
      <c r="N868" s="26"/>
      <c r="O868" s="26"/>
      <c r="P868" s="26"/>
      <c r="Q868" s="26"/>
      <c r="R868" s="27"/>
    </row>
    <row r="869" spans="2:18" x14ac:dyDescent="0.25">
      <c r="B869" s="32"/>
      <c r="C869" s="24"/>
      <c r="D869" s="25"/>
      <c r="E869" s="26"/>
      <c r="F869" s="26"/>
      <c r="G869" s="26"/>
      <c r="H869" s="26"/>
      <c r="I869" s="26"/>
      <c r="J869" s="26"/>
      <c r="K869" s="26"/>
      <c r="L869" s="26"/>
      <c r="M869" s="26"/>
      <c r="N869" s="26"/>
      <c r="O869" s="26"/>
      <c r="P869" s="26"/>
      <c r="Q869" s="26"/>
      <c r="R869" s="27"/>
    </row>
    <row r="870" spans="2:18" x14ac:dyDescent="0.25">
      <c r="B870" s="32"/>
      <c r="C870" s="24"/>
      <c r="D870" s="25"/>
      <c r="E870" s="26"/>
      <c r="F870" s="26"/>
      <c r="G870" s="26"/>
      <c r="H870" s="26"/>
      <c r="I870" s="26"/>
      <c r="J870" s="26"/>
      <c r="K870" s="26"/>
      <c r="L870" s="26"/>
      <c r="M870" s="26"/>
      <c r="N870" s="26"/>
      <c r="O870" s="26"/>
      <c r="P870" s="26"/>
      <c r="Q870" s="26"/>
      <c r="R870" s="27"/>
    </row>
    <row r="871" spans="2:18" x14ac:dyDescent="0.25">
      <c r="B871" s="32"/>
      <c r="C871" s="24"/>
      <c r="D871" s="25"/>
      <c r="E871" s="26"/>
      <c r="F871" s="26"/>
      <c r="G871" s="26"/>
      <c r="H871" s="26"/>
      <c r="I871" s="26"/>
      <c r="J871" s="26"/>
      <c r="K871" s="26"/>
      <c r="L871" s="26"/>
      <c r="M871" s="26"/>
      <c r="N871" s="26"/>
      <c r="O871" s="26"/>
      <c r="P871" s="26"/>
      <c r="Q871" s="26"/>
      <c r="R871" s="27"/>
    </row>
    <row r="872" spans="2:18" ht="16.5" thickBot="1" x14ac:dyDescent="0.3">
      <c r="B872" s="32"/>
      <c r="C872" s="24"/>
      <c r="D872" s="25"/>
      <c r="E872" s="26"/>
      <c r="F872" s="26"/>
      <c r="G872" s="26"/>
      <c r="H872" s="26"/>
      <c r="I872" s="26"/>
      <c r="J872" s="26"/>
      <c r="K872" s="26"/>
      <c r="L872" s="26"/>
      <c r="M872" s="26"/>
      <c r="N872" s="26"/>
      <c r="O872" s="26"/>
      <c r="P872" s="26"/>
      <c r="Q872" s="26"/>
      <c r="R872" s="27"/>
    </row>
    <row r="873" spans="2:18" ht="19.5" thickBot="1" x14ac:dyDescent="0.35">
      <c r="B873" s="32"/>
      <c r="C873" s="608" t="s">
        <v>9</v>
      </c>
      <c r="D873" s="609" t="s">
        <v>7</v>
      </c>
      <c r="E873" s="610" t="s">
        <v>103</v>
      </c>
      <c r="F873" s="610" t="s">
        <v>104</v>
      </c>
      <c r="G873" s="610" t="s">
        <v>105</v>
      </c>
      <c r="H873" s="610" t="s">
        <v>106</v>
      </c>
      <c r="I873" s="611" t="s">
        <v>108</v>
      </c>
      <c r="J873" s="612" t="s">
        <v>268</v>
      </c>
      <c r="K873" s="26" t="s">
        <v>67</v>
      </c>
      <c r="L873" s="26"/>
      <c r="M873" s="26"/>
      <c r="N873" s="26"/>
      <c r="O873" s="26"/>
      <c r="P873" s="26"/>
      <c r="Q873" s="26"/>
      <c r="R873" s="27"/>
    </row>
    <row r="874" spans="2:18" x14ac:dyDescent="0.25">
      <c r="B874" s="32"/>
      <c r="C874" s="332" t="s">
        <v>458</v>
      </c>
      <c r="D874" s="594">
        <f>IF(AND(ISNUMBER(D358),ISNUMBER(D378)),D358/D378,"SIN DATOS")</f>
        <v>15840</v>
      </c>
      <c r="E874" s="594">
        <f>IF(AND(ISNUMBER(E358),ISNUMBER(E378)),E358/E378,"SIN DATOS")</f>
        <v>16315.2</v>
      </c>
      <c r="F874" s="594">
        <f>IF(AND(ISNUMBER(F358),ISNUMBER(F378)),F358/F378,"SIN DATOS")</f>
        <v>16804.656000000003</v>
      </c>
      <c r="G874" s="594">
        <f>IF(AND(ISNUMBER(G358),ISNUMBER(G378)),G358/G378,"SIN DATOS")</f>
        <v>17308.795680000003</v>
      </c>
      <c r="H874" s="594">
        <f>IF(AND(ISNUMBER(H358),ISNUMBER(H378)),H358/H378,"SIN DATOS")</f>
        <v>17828.059550400005</v>
      </c>
      <c r="I874" s="595">
        <f>IF(AND(ISNUMBER(D874),ISNUMBER(E874),ISNUMBER(F874),ISNUMBER(G874),ISNUMBER(H874)),TREND(D874:H874,D$304:H$304,I$304),"SIN DATOS")</f>
        <v>18310.256680320006</v>
      </c>
      <c r="J874" s="586"/>
      <c r="K874" s="26"/>
      <c r="L874" s="26"/>
      <c r="M874" s="26"/>
      <c r="N874" s="26"/>
      <c r="O874" s="26"/>
      <c r="P874" s="26"/>
      <c r="Q874" s="26"/>
      <c r="R874" s="27"/>
    </row>
    <row r="875" spans="2:18" ht="16.5" thickBot="1" x14ac:dyDescent="0.3">
      <c r="B875" s="32"/>
      <c r="C875" s="205" t="s">
        <v>118</v>
      </c>
      <c r="D875" s="596">
        <f>1000*Sector!F191/Sector!F187</f>
        <v>21785.693041409249</v>
      </c>
      <c r="E875" s="596">
        <f>1000*Sector!G191/Sector!G187</f>
        <v>22991.897205268229</v>
      </c>
      <c r="F875" s="596">
        <f>1000*Sector!H191/Sector!H187</f>
        <v>23646.521005845876</v>
      </c>
      <c r="G875" s="596">
        <f>1000*Sector!I191/Sector!I187</f>
        <v>24177.68913235244</v>
      </c>
      <c r="H875" s="596">
        <f>1000*Sector!J191/Sector!J187</f>
        <v>25050.672151876606</v>
      </c>
      <c r="I875" s="597">
        <f>IF(AND(ISNUMBER(D875),ISNUMBER(E875),ISNUMBER(F875),ISNUMBER(G875),ISNUMBER(H875)),TREND(D875:H875,D$304:H$304,I$304),"SIN DATOS")</f>
        <v>25845.219551756156</v>
      </c>
      <c r="J875" s="598"/>
      <c r="K875" s="26"/>
      <c r="L875" s="26"/>
      <c r="M875" s="26"/>
      <c r="N875" s="26"/>
      <c r="O875" s="26"/>
      <c r="P875" s="26"/>
      <c r="Q875" s="26"/>
      <c r="R875" s="27"/>
    </row>
    <row r="876" spans="2:18" thickBot="1" x14ac:dyDescent="0.3">
      <c r="B876" s="32"/>
      <c r="C876" s="207" t="s">
        <v>457</v>
      </c>
      <c r="D876" s="287" t="str">
        <f t="shared" ref="D876:I876" si="88">IF(D874&lt;=D875,IF(D874=D875,"═","▲"),"▼")</f>
        <v>▲</v>
      </c>
      <c r="E876" s="287" t="str">
        <f t="shared" si="88"/>
        <v>▲</v>
      </c>
      <c r="F876" s="287" t="str">
        <f t="shared" si="88"/>
        <v>▲</v>
      </c>
      <c r="G876" s="287" t="str">
        <f t="shared" si="88"/>
        <v>▲</v>
      </c>
      <c r="H876" s="287" t="str">
        <f t="shared" si="88"/>
        <v>▲</v>
      </c>
      <c r="I876" s="288" t="str">
        <f t="shared" si="88"/>
        <v>▲</v>
      </c>
      <c r="J876" s="26"/>
      <c r="K876" s="26"/>
      <c r="L876" s="26"/>
      <c r="M876" s="26"/>
      <c r="N876" s="26"/>
      <c r="O876" s="26"/>
      <c r="P876" s="26"/>
      <c r="Q876" s="26"/>
      <c r="R876" s="27"/>
    </row>
    <row r="877" spans="2:18" x14ac:dyDescent="0.25">
      <c r="B877" s="32"/>
      <c r="C877" s="24"/>
      <c r="D877" s="25"/>
      <c r="E877" s="26"/>
      <c r="F877" s="26"/>
      <c r="G877" s="26"/>
      <c r="H877" s="26"/>
      <c r="I877" s="26"/>
      <c r="J877" s="26"/>
      <c r="K877" s="26"/>
      <c r="L877" s="26"/>
      <c r="M877" s="26"/>
      <c r="N877" s="26"/>
      <c r="O877" s="26"/>
      <c r="P877" s="26"/>
      <c r="Q877" s="26"/>
      <c r="R877" s="27"/>
    </row>
    <row r="878" spans="2:18" x14ac:dyDescent="0.25">
      <c r="B878" s="32"/>
      <c r="C878" s="24"/>
      <c r="D878" s="25"/>
      <c r="E878" s="26"/>
      <c r="F878" s="26"/>
      <c r="G878" s="26"/>
      <c r="H878" s="26"/>
      <c r="I878" s="26"/>
      <c r="J878" s="26"/>
      <c r="K878" s="26"/>
      <c r="L878" s="26"/>
      <c r="M878" s="26"/>
      <c r="N878" s="26"/>
      <c r="O878" s="26"/>
      <c r="P878" s="26"/>
      <c r="Q878" s="26"/>
      <c r="R878" s="27"/>
    </row>
    <row r="879" spans="2:18" x14ac:dyDescent="0.25">
      <c r="B879" s="32"/>
      <c r="C879" s="24"/>
      <c r="D879" s="25"/>
      <c r="E879" s="26"/>
      <c r="F879" s="26"/>
      <c r="G879" s="26"/>
      <c r="H879" s="26"/>
      <c r="I879" s="26"/>
      <c r="J879" s="26"/>
      <c r="K879" s="26"/>
      <c r="L879" s="26"/>
      <c r="M879" s="26"/>
      <c r="N879" s="26"/>
      <c r="O879" s="26"/>
      <c r="P879" s="26"/>
      <c r="Q879" s="26"/>
      <c r="R879" s="27"/>
    </row>
    <row r="880" spans="2:18" x14ac:dyDescent="0.25">
      <c r="B880" s="32"/>
      <c r="C880" s="24"/>
      <c r="D880" s="25"/>
      <c r="E880" s="26"/>
      <c r="F880" s="26"/>
      <c r="G880" s="26"/>
      <c r="H880" s="26"/>
      <c r="I880" s="26"/>
      <c r="J880" s="26"/>
      <c r="K880" s="26"/>
      <c r="L880" s="26"/>
      <c r="M880" s="26"/>
      <c r="N880" s="26"/>
      <c r="O880" s="26"/>
      <c r="P880" s="26"/>
      <c r="Q880" s="26"/>
      <c r="R880" s="27"/>
    </row>
    <row r="881" spans="2:18" x14ac:dyDescent="0.25">
      <c r="B881" s="32"/>
      <c r="C881" s="24"/>
      <c r="D881" s="25"/>
      <c r="E881" s="26"/>
      <c r="F881" s="26"/>
      <c r="G881" s="26"/>
      <c r="H881" s="26"/>
      <c r="I881" s="26"/>
      <c r="J881" s="26"/>
      <c r="K881" s="26"/>
      <c r="L881" s="26"/>
      <c r="M881" s="26"/>
      <c r="N881" s="26"/>
      <c r="O881" s="26"/>
      <c r="P881" s="26"/>
      <c r="Q881" s="26"/>
      <c r="R881" s="27"/>
    </row>
    <row r="882" spans="2:18" ht="16.5" thickBot="1" x14ac:dyDescent="0.3">
      <c r="B882" s="32"/>
      <c r="C882" s="24"/>
      <c r="D882" s="25"/>
      <c r="E882" s="26"/>
      <c r="F882" s="26"/>
      <c r="G882" s="26"/>
      <c r="H882" s="26"/>
      <c r="I882" s="26"/>
      <c r="J882" s="26"/>
      <c r="K882" s="26"/>
      <c r="L882" s="26"/>
      <c r="M882" s="26"/>
      <c r="N882" s="26"/>
      <c r="O882" s="26"/>
      <c r="P882" s="26"/>
      <c r="Q882" s="26"/>
      <c r="R882" s="27"/>
    </row>
    <row r="883" spans="2:18" ht="19.5" thickBot="1" x14ac:dyDescent="0.35">
      <c r="B883" s="32"/>
      <c r="C883" s="608" t="s">
        <v>10</v>
      </c>
      <c r="D883" s="609" t="s">
        <v>7</v>
      </c>
      <c r="E883" s="610" t="s">
        <v>103</v>
      </c>
      <c r="F883" s="610" t="s">
        <v>104</v>
      </c>
      <c r="G883" s="610" t="s">
        <v>105</v>
      </c>
      <c r="H883" s="610" t="s">
        <v>106</v>
      </c>
      <c r="I883" s="611" t="s">
        <v>108</v>
      </c>
      <c r="J883" s="613" t="s">
        <v>268</v>
      </c>
      <c r="K883" s="26" t="s">
        <v>68</v>
      </c>
      <c r="L883" s="26"/>
      <c r="M883" s="26"/>
      <c r="N883" s="26"/>
      <c r="O883" s="26"/>
      <c r="P883" s="26"/>
      <c r="Q883" s="26"/>
      <c r="R883" s="27"/>
    </row>
    <row r="884" spans="2:18" x14ac:dyDescent="0.25">
      <c r="B884" s="32"/>
      <c r="C884" s="332" t="s">
        <v>458</v>
      </c>
      <c r="D884" s="594">
        <f>IF(AND(ISNUMBER(D353),ISNUMBER(D378)),D353/D378,"SIN DATOS")</f>
        <v>54000</v>
      </c>
      <c r="E884" s="594">
        <f>IF(AND(ISNUMBER(E353),ISNUMBER(E378)),E353/E378,"SIN DATOS")</f>
        <v>55620</v>
      </c>
      <c r="F884" s="594">
        <f>IF(AND(ISNUMBER(F353),ISNUMBER(F378)),F353/F378,"SIN DATOS")</f>
        <v>58401</v>
      </c>
      <c r="G884" s="594">
        <f>IF(AND(ISNUMBER(G353),ISNUMBER(G378)),G353/G378,"SIN DATOS")</f>
        <v>62489.070000000007</v>
      </c>
      <c r="H884" s="594">
        <f>IF(AND(ISNUMBER(H353),ISNUMBER(H378)),H353/H378,"SIN DATOS")</f>
        <v>68737.977000000014</v>
      </c>
      <c r="I884" s="595">
        <f>IF(AND(ISNUMBER(D884),ISNUMBER(E884),ISNUMBER(F884),ISNUMBER(G884),ISNUMBER(H884)),TREND(D884:H884,D$304:H$304,I$304),"SIN DATOS")</f>
        <v>70753.116600000008</v>
      </c>
      <c r="J884" s="177"/>
      <c r="K884" s="26"/>
      <c r="L884" s="26"/>
      <c r="M884" s="26"/>
      <c r="N884" s="26"/>
      <c r="O884" s="26"/>
      <c r="P884" s="26"/>
      <c r="Q884" s="26"/>
      <c r="R884" s="27"/>
    </row>
    <row r="885" spans="2:18" ht="16.5" thickBot="1" x14ac:dyDescent="0.3">
      <c r="B885" s="32"/>
      <c r="C885" s="205" t="s">
        <v>118</v>
      </c>
      <c r="D885" s="596">
        <f>1000*Sector!F10/Sector!F187</f>
        <v>181554.1148355318</v>
      </c>
      <c r="E885" s="596">
        <f>1000*Sector!G10/Sector!G187</f>
        <v>189600.61676839061</v>
      </c>
      <c r="F885" s="596">
        <f>1000*Sector!H10/Sector!H187</f>
        <v>195990.17740524226</v>
      </c>
      <c r="G885" s="596">
        <f>1000*Sector!I10/Sector!I187</f>
        <v>198243.7020863895</v>
      </c>
      <c r="H885" s="596">
        <f>1000*Sector!J10/Sector!J187</f>
        <v>201312.63948535366</v>
      </c>
      <c r="I885" s="597">
        <f>IF(AND(ISNUMBER(D885),ISNUMBER(E885),ISNUMBER(F885),ISNUMBER(G885),ISNUMBER(H885)),TREND(D885:H885,D$304:H$304,I$304),"SIN DATOS")</f>
        <v>207788.29050147434</v>
      </c>
      <c r="J885" s="176"/>
      <c r="K885" s="26"/>
      <c r="L885" s="26"/>
      <c r="M885" s="26"/>
      <c r="N885" s="26"/>
      <c r="O885" s="26"/>
      <c r="P885" s="26"/>
      <c r="Q885" s="26"/>
      <c r="R885" s="27"/>
    </row>
    <row r="886" spans="2:18" thickBot="1" x14ac:dyDescent="0.3">
      <c r="B886" s="32"/>
      <c r="C886" s="207" t="s">
        <v>457</v>
      </c>
      <c r="D886" s="287" t="str">
        <f t="shared" ref="D886:I886" si="89">IF(D884&gt;=D885,IF(D884=D885,"═","▲"),"▼")</f>
        <v>▼</v>
      </c>
      <c r="E886" s="287" t="str">
        <f t="shared" si="89"/>
        <v>▼</v>
      </c>
      <c r="F886" s="287" t="str">
        <f t="shared" si="89"/>
        <v>▼</v>
      </c>
      <c r="G886" s="287" t="str">
        <f t="shared" si="89"/>
        <v>▼</v>
      </c>
      <c r="H886" s="287" t="str">
        <f t="shared" si="89"/>
        <v>▼</v>
      </c>
      <c r="I886" s="288" t="str">
        <f t="shared" si="89"/>
        <v>▼</v>
      </c>
      <c r="J886" s="26"/>
      <c r="K886" s="26"/>
      <c r="L886" s="26"/>
      <c r="M886" s="26"/>
      <c r="N886" s="26"/>
      <c r="O886" s="26"/>
      <c r="P886" s="26"/>
      <c r="Q886" s="26"/>
      <c r="R886" s="27"/>
    </row>
    <row r="887" spans="2:18" x14ac:dyDescent="0.25">
      <c r="B887" s="32"/>
      <c r="C887" s="24"/>
      <c r="D887" s="25"/>
      <c r="E887" s="26"/>
      <c r="F887" s="26"/>
      <c r="G887" s="26"/>
      <c r="H887" s="26"/>
      <c r="I887" s="26"/>
      <c r="J887" s="26"/>
      <c r="K887" s="26"/>
      <c r="L887" s="26"/>
      <c r="M887" s="26"/>
      <c r="N887" s="26"/>
      <c r="O887" s="26"/>
      <c r="P887" s="26"/>
      <c r="Q887" s="26"/>
      <c r="R887" s="27"/>
    </row>
    <row r="888" spans="2:18" x14ac:dyDescent="0.25">
      <c r="B888" s="32"/>
      <c r="C888" s="24"/>
      <c r="D888" s="25"/>
      <c r="E888" s="26"/>
      <c r="F888" s="26"/>
      <c r="G888" s="26"/>
      <c r="H888" s="26"/>
      <c r="I888" s="26"/>
      <c r="J888" s="26"/>
      <c r="K888" s="26"/>
      <c r="L888" s="26"/>
      <c r="M888" s="26"/>
      <c r="N888" s="26"/>
      <c r="O888" s="26"/>
      <c r="P888" s="26"/>
      <c r="Q888" s="26"/>
      <c r="R888" s="27"/>
    </row>
    <row r="889" spans="2:18" x14ac:dyDescent="0.25">
      <c r="B889" s="32"/>
      <c r="C889" s="24"/>
      <c r="D889" s="25"/>
      <c r="E889" s="26"/>
      <c r="F889" s="26"/>
      <c r="G889" s="26"/>
      <c r="H889" s="26"/>
      <c r="I889" s="26"/>
      <c r="J889" s="26"/>
      <c r="K889" s="26"/>
      <c r="L889" s="26"/>
      <c r="M889" s="26"/>
      <c r="N889" s="26"/>
      <c r="O889" s="26"/>
      <c r="P889" s="26"/>
      <c r="Q889" s="26"/>
      <c r="R889" s="27"/>
    </row>
    <row r="890" spans="2:18" x14ac:dyDescent="0.25">
      <c r="B890" s="32"/>
      <c r="C890" s="24"/>
      <c r="D890" s="25"/>
      <c r="E890" s="26"/>
      <c r="F890" s="26"/>
      <c r="G890" s="26"/>
      <c r="H890" s="26"/>
      <c r="I890" s="26"/>
      <c r="J890" s="26"/>
      <c r="K890" s="26"/>
      <c r="L890" s="26"/>
      <c r="M890" s="26"/>
      <c r="N890" s="26"/>
      <c r="O890" s="26"/>
      <c r="P890" s="26"/>
      <c r="Q890" s="26"/>
      <c r="R890" s="27"/>
    </row>
    <row r="891" spans="2:18" x14ac:dyDescent="0.25">
      <c r="B891" s="32"/>
      <c r="C891" s="24"/>
      <c r="D891" s="25"/>
      <c r="E891" s="26"/>
      <c r="F891" s="26"/>
      <c r="G891" s="26"/>
      <c r="H891" s="26"/>
      <c r="I891" s="26"/>
      <c r="J891" s="26"/>
      <c r="K891" s="26"/>
      <c r="L891" s="26"/>
      <c r="M891" s="26"/>
      <c r="N891" s="26"/>
      <c r="O891" s="26"/>
      <c r="P891" s="26"/>
      <c r="Q891" s="26"/>
      <c r="R891" s="27"/>
    </row>
    <row r="892" spans="2:18" x14ac:dyDescent="0.25">
      <c r="B892" s="32"/>
      <c r="C892" s="24"/>
      <c r="D892" s="25"/>
      <c r="E892" s="26"/>
      <c r="F892" s="26"/>
      <c r="G892" s="26"/>
      <c r="H892" s="26"/>
      <c r="I892" s="26"/>
      <c r="J892" s="26"/>
      <c r="K892" s="26"/>
      <c r="L892" s="26"/>
      <c r="M892" s="26"/>
      <c r="N892" s="26"/>
      <c r="O892" s="26"/>
      <c r="P892" s="26"/>
      <c r="Q892" s="26"/>
      <c r="R892" s="27"/>
    </row>
    <row r="893" spans="2:18" x14ac:dyDescent="0.25">
      <c r="B893" s="32"/>
      <c r="C893" s="24"/>
      <c r="D893" s="25"/>
      <c r="E893" s="26"/>
      <c r="F893" s="26"/>
      <c r="G893" s="26"/>
      <c r="H893" s="26"/>
      <c r="I893" s="26"/>
      <c r="J893" s="26"/>
      <c r="K893" s="26"/>
      <c r="L893" s="26"/>
      <c r="M893" s="26"/>
      <c r="N893" s="26"/>
      <c r="O893" s="26"/>
      <c r="P893" s="26"/>
      <c r="Q893" s="26"/>
      <c r="R893" s="27"/>
    </row>
    <row r="894" spans="2:18" x14ac:dyDescent="0.25">
      <c r="B894" s="32"/>
      <c r="C894" s="24"/>
      <c r="D894" s="25"/>
      <c r="E894" s="26"/>
      <c r="F894" s="26"/>
      <c r="G894" s="26"/>
      <c r="H894" s="26"/>
      <c r="I894" s="26"/>
      <c r="J894" s="26"/>
      <c r="K894" s="26"/>
      <c r="L894" s="26"/>
      <c r="M894" s="26"/>
      <c r="N894" s="26"/>
      <c r="O894" s="26"/>
      <c r="P894" s="26"/>
      <c r="Q894" s="26"/>
      <c r="R894" s="27"/>
    </row>
    <row r="895" spans="2:18" x14ac:dyDescent="0.25">
      <c r="B895" s="32"/>
      <c r="C895" s="24"/>
      <c r="D895" s="25"/>
      <c r="E895" s="26"/>
      <c r="F895" s="26"/>
      <c r="G895" s="26"/>
      <c r="H895" s="26"/>
      <c r="I895" s="26"/>
      <c r="J895" s="26"/>
      <c r="K895" s="26"/>
      <c r="L895" s="26"/>
      <c r="M895" s="26"/>
      <c r="N895" s="26"/>
      <c r="O895" s="26"/>
      <c r="P895" s="26"/>
      <c r="Q895" s="26"/>
      <c r="R895" s="27"/>
    </row>
    <row r="896" spans="2:18" x14ac:dyDescent="0.25">
      <c r="B896" s="32"/>
      <c r="C896" s="24"/>
      <c r="D896" s="25"/>
      <c r="E896" s="26"/>
      <c r="F896" s="26"/>
      <c r="G896" s="26"/>
      <c r="H896" s="26"/>
      <c r="I896" s="26"/>
      <c r="J896" s="26"/>
      <c r="K896" s="26"/>
      <c r="L896" s="26"/>
      <c r="M896" s="26"/>
      <c r="N896" s="26"/>
      <c r="O896" s="26"/>
      <c r="P896" s="26"/>
      <c r="Q896" s="26"/>
      <c r="R896" s="27"/>
    </row>
    <row r="897" spans="2:18" x14ac:dyDescent="0.25">
      <c r="B897" s="32"/>
      <c r="C897" s="24"/>
      <c r="D897" s="25"/>
      <c r="E897" s="26"/>
      <c r="F897" s="26"/>
      <c r="G897" s="26"/>
      <c r="H897" s="26"/>
      <c r="I897" s="26"/>
      <c r="J897" s="26"/>
      <c r="K897" s="26"/>
      <c r="L897" s="26"/>
      <c r="M897" s="26"/>
      <c r="N897" s="26"/>
      <c r="O897" s="26"/>
      <c r="P897" s="26"/>
      <c r="Q897" s="26"/>
      <c r="R897" s="27"/>
    </row>
    <row r="898" spans="2:18" ht="16.5" thickBot="1" x14ac:dyDescent="0.3">
      <c r="B898" s="32"/>
      <c r="C898" s="24"/>
      <c r="D898" s="25"/>
      <c r="E898" s="26"/>
      <c r="F898" s="26"/>
      <c r="G898" s="26"/>
      <c r="H898" s="26"/>
      <c r="I898" s="26"/>
      <c r="J898" s="26"/>
      <c r="K898" s="26"/>
      <c r="L898" s="26"/>
      <c r="M898" s="26"/>
      <c r="N898" s="26"/>
      <c r="O898" s="26"/>
      <c r="P898" s="26"/>
      <c r="Q898" s="26"/>
      <c r="R898" s="27"/>
    </row>
    <row r="899" spans="2:18" ht="19.5" thickBot="1" x14ac:dyDescent="0.35">
      <c r="B899" s="32"/>
      <c r="C899" s="608" t="s">
        <v>576</v>
      </c>
      <c r="D899" s="609" t="s">
        <v>7</v>
      </c>
      <c r="E899" s="610" t="s">
        <v>103</v>
      </c>
      <c r="F899" s="610" t="s">
        <v>104</v>
      </c>
      <c r="G899" s="610" t="s">
        <v>105</v>
      </c>
      <c r="H899" s="610" t="s">
        <v>106</v>
      </c>
      <c r="I899" s="611" t="s">
        <v>108</v>
      </c>
      <c r="J899" s="612" t="s">
        <v>268</v>
      </c>
      <c r="K899" s="26"/>
      <c r="L899" s="26"/>
      <c r="M899" s="26"/>
      <c r="N899" s="26"/>
      <c r="O899" s="26"/>
      <c r="P899" s="26"/>
      <c r="Q899" s="26"/>
      <c r="R899" s="27"/>
    </row>
    <row r="900" spans="2:18" x14ac:dyDescent="0.25">
      <c r="B900" s="32"/>
      <c r="C900" s="332" t="s">
        <v>577</v>
      </c>
      <c r="D900" s="591">
        <v>0.25</v>
      </c>
      <c r="E900" s="591">
        <v>0.3</v>
      </c>
      <c r="F900" s="591">
        <v>0.35</v>
      </c>
      <c r="G900" s="591">
        <v>0.3</v>
      </c>
      <c r="H900" s="591">
        <v>0.25</v>
      </c>
      <c r="I900" s="588">
        <f>IF(AND(ISNUMBER(D900),ISNUMBER(E900),ISNUMBER(F900),ISNUMBER(G900),ISNUMBER(H900)),TREND(D900:H900,D$304:H$304,I$304),"SIN DATOS")</f>
        <v>0.28999999999999998</v>
      </c>
      <c r="J900" s="446"/>
      <c r="K900" s="26"/>
      <c r="L900" s="26"/>
      <c r="M900" s="26"/>
      <c r="N900" s="26"/>
      <c r="O900" s="26"/>
      <c r="P900" s="26"/>
      <c r="Q900" s="26"/>
      <c r="R900" s="27"/>
    </row>
    <row r="901" spans="2:18" ht="16.5" thickBot="1" x14ac:dyDescent="0.3">
      <c r="B901" s="32"/>
      <c r="C901" s="207" t="s">
        <v>578</v>
      </c>
      <c r="D901" s="267">
        <v>0.2</v>
      </c>
      <c r="E901" s="267">
        <v>0.25</v>
      </c>
      <c r="F901" s="267">
        <v>0.27</v>
      </c>
      <c r="G901" s="267">
        <v>0.25</v>
      </c>
      <c r="H901" s="267">
        <v>0.27</v>
      </c>
      <c r="I901" s="271">
        <f>IF(AND(ISNUMBER(D901),ISNUMBER(E901),ISNUMBER(F901),ISNUMBER(G901),ISNUMBER(H901)),TREND(D901:H901,D$304:H$304,I$304),"SIN DATOS")</f>
        <v>0.29000000000000004</v>
      </c>
      <c r="J901" s="208"/>
      <c r="K901" s="26"/>
      <c r="L901" s="26"/>
      <c r="M901" s="26"/>
      <c r="N901" s="26"/>
      <c r="O901" s="26"/>
      <c r="P901" s="26"/>
      <c r="Q901" s="26"/>
      <c r="R901" s="27"/>
    </row>
    <row r="902" spans="2:18" x14ac:dyDescent="0.25">
      <c r="B902" s="32"/>
      <c r="C902" s="24"/>
      <c r="D902" s="25"/>
      <c r="E902" s="26"/>
      <c r="F902" s="26"/>
      <c r="G902" s="26"/>
      <c r="H902" s="26"/>
      <c r="I902" s="26"/>
      <c r="J902" s="26"/>
      <c r="K902" s="26"/>
      <c r="L902" s="26"/>
      <c r="M902" s="26"/>
      <c r="N902" s="26"/>
      <c r="O902" s="26"/>
      <c r="P902" s="26"/>
      <c r="Q902" s="26"/>
      <c r="R902" s="27"/>
    </row>
    <row r="903" spans="2:18" x14ac:dyDescent="0.25">
      <c r="B903" s="32"/>
      <c r="C903" s="24"/>
      <c r="D903" s="25"/>
      <c r="E903" s="26"/>
      <c r="F903" s="26"/>
      <c r="G903" s="26"/>
      <c r="H903" s="26"/>
      <c r="I903" s="26"/>
      <c r="J903" s="26"/>
      <c r="K903" s="26"/>
      <c r="L903" s="26"/>
      <c r="M903" s="26"/>
      <c r="N903" s="26"/>
      <c r="O903" s="26"/>
      <c r="P903" s="26"/>
      <c r="Q903" s="26"/>
      <c r="R903" s="27"/>
    </row>
    <row r="904" spans="2:18" x14ac:dyDescent="0.25">
      <c r="B904" s="32"/>
      <c r="C904" s="24"/>
      <c r="D904" s="25"/>
      <c r="E904" s="26"/>
      <c r="F904" s="26"/>
      <c r="G904" s="26"/>
      <c r="H904" s="26"/>
      <c r="I904" s="26"/>
      <c r="J904" s="26"/>
      <c r="K904" s="26"/>
      <c r="L904" s="26"/>
      <c r="M904" s="26"/>
      <c r="N904" s="26"/>
      <c r="O904" s="26"/>
      <c r="P904" s="26"/>
      <c r="Q904" s="26"/>
      <c r="R904" s="27"/>
    </row>
    <row r="905" spans="2:18" x14ac:dyDescent="0.25">
      <c r="B905" s="32"/>
      <c r="C905" s="24"/>
      <c r="D905" s="25"/>
      <c r="E905" s="26"/>
      <c r="F905" s="26"/>
      <c r="G905" s="26"/>
      <c r="H905" s="26"/>
      <c r="I905" s="26"/>
      <c r="J905" s="26"/>
      <c r="K905" s="26"/>
      <c r="L905" s="26"/>
      <c r="M905" s="26"/>
      <c r="N905" s="26"/>
      <c r="O905" s="26"/>
      <c r="P905" s="26"/>
      <c r="Q905" s="26"/>
      <c r="R905" s="27"/>
    </row>
    <row r="906" spans="2:18" x14ac:dyDescent="0.25">
      <c r="B906" s="32"/>
      <c r="C906" s="24"/>
      <c r="D906" s="25"/>
      <c r="E906" s="26"/>
      <c r="F906" s="26"/>
      <c r="G906" s="26"/>
      <c r="H906" s="26"/>
      <c r="I906" s="26"/>
      <c r="J906" s="26"/>
      <c r="K906" s="26"/>
      <c r="L906" s="26"/>
      <c r="M906" s="26"/>
      <c r="N906" s="26"/>
      <c r="O906" s="26"/>
      <c r="P906" s="26"/>
      <c r="Q906" s="26"/>
      <c r="R906" s="27"/>
    </row>
    <row r="907" spans="2:18" x14ac:dyDescent="0.25">
      <c r="B907" s="32"/>
      <c r="C907" s="24"/>
      <c r="D907" s="25"/>
      <c r="E907" s="26"/>
      <c r="F907" s="26"/>
      <c r="G907" s="26"/>
      <c r="H907" s="26"/>
      <c r="I907" s="26"/>
      <c r="J907" s="26"/>
      <c r="K907" s="26"/>
      <c r="L907" s="26"/>
      <c r="M907" s="26"/>
      <c r="N907" s="26"/>
      <c r="O907" s="26"/>
      <c r="P907" s="26"/>
      <c r="Q907" s="26"/>
      <c r="R907" s="27"/>
    </row>
    <row r="908" spans="2:18" x14ac:dyDescent="0.25">
      <c r="B908" s="32"/>
      <c r="C908" s="24"/>
      <c r="D908" s="25"/>
      <c r="E908" s="26"/>
      <c r="F908" s="26"/>
      <c r="G908" s="26"/>
      <c r="H908" s="26"/>
      <c r="I908" s="26"/>
      <c r="J908" s="26"/>
      <c r="K908" s="26"/>
      <c r="L908" s="26"/>
      <c r="M908" s="26"/>
      <c r="N908" s="26"/>
      <c r="O908" s="26"/>
      <c r="P908" s="26"/>
      <c r="Q908" s="26"/>
      <c r="R908" s="27"/>
    </row>
    <row r="909" spans="2:18" x14ac:dyDescent="0.25">
      <c r="B909" s="32"/>
      <c r="C909" s="24"/>
      <c r="D909" s="25"/>
      <c r="E909" s="26"/>
      <c r="F909" s="26"/>
      <c r="G909" s="26"/>
      <c r="H909" s="26"/>
      <c r="I909" s="26"/>
      <c r="J909" s="26"/>
      <c r="K909" s="26"/>
      <c r="L909" s="26"/>
      <c r="M909" s="26"/>
      <c r="N909" s="26"/>
      <c r="O909" s="26"/>
      <c r="P909" s="26"/>
      <c r="Q909" s="26"/>
      <c r="R909" s="27"/>
    </row>
    <row r="910" spans="2:18" x14ac:dyDescent="0.25">
      <c r="B910" s="32"/>
      <c r="C910" s="24"/>
      <c r="D910" s="25"/>
      <c r="E910" s="26"/>
      <c r="F910" s="26"/>
      <c r="G910" s="26"/>
      <c r="H910" s="26"/>
      <c r="I910" s="26"/>
      <c r="J910" s="26"/>
      <c r="K910" s="26"/>
      <c r="L910" s="26"/>
      <c r="M910" s="26"/>
      <c r="N910" s="26"/>
      <c r="O910" s="26"/>
      <c r="P910" s="26"/>
      <c r="Q910" s="26"/>
      <c r="R910" s="27"/>
    </row>
    <row r="911" spans="2:18" x14ac:dyDescent="0.25">
      <c r="B911" s="32"/>
      <c r="C911" s="24"/>
      <c r="D911" s="25"/>
      <c r="E911" s="26"/>
      <c r="F911" s="26"/>
      <c r="G911" s="26"/>
      <c r="H911" s="26"/>
      <c r="I911" s="26"/>
      <c r="J911" s="26"/>
      <c r="K911" s="26"/>
      <c r="L911" s="26"/>
      <c r="M911" s="26"/>
      <c r="N911" s="26"/>
      <c r="O911" s="26"/>
      <c r="P911" s="26"/>
      <c r="Q911" s="26"/>
      <c r="R911" s="27"/>
    </row>
    <row r="912" spans="2:18" x14ac:dyDescent="0.25">
      <c r="B912" s="32"/>
      <c r="C912" s="24"/>
      <c r="D912" s="25"/>
      <c r="E912" s="26"/>
      <c r="F912" s="26"/>
      <c r="G912" s="26"/>
      <c r="H912" s="26"/>
      <c r="I912" s="26"/>
      <c r="J912" s="26"/>
      <c r="K912" s="26"/>
      <c r="L912" s="26"/>
      <c r="M912" s="26"/>
      <c r="N912" s="26"/>
      <c r="O912" s="26"/>
      <c r="P912" s="26"/>
      <c r="Q912" s="26"/>
      <c r="R912" s="27"/>
    </row>
    <row r="913" spans="2:18" x14ac:dyDescent="0.25">
      <c r="B913" s="32"/>
      <c r="C913" s="24"/>
      <c r="D913" s="25"/>
      <c r="E913" s="26"/>
      <c r="F913" s="26"/>
      <c r="G913" s="26"/>
      <c r="H913" s="26"/>
      <c r="I913" s="26"/>
      <c r="J913" s="26"/>
      <c r="K913" s="26"/>
      <c r="L913" s="26"/>
      <c r="M913" s="26"/>
      <c r="N913" s="26"/>
      <c r="O913" s="26"/>
      <c r="P913" s="26"/>
      <c r="Q913" s="26"/>
      <c r="R913" s="27"/>
    </row>
    <row r="914" spans="2:18" x14ac:dyDescent="0.25">
      <c r="B914" s="32"/>
      <c r="C914" s="24"/>
      <c r="D914" s="25"/>
      <c r="E914" s="26"/>
      <c r="F914" s="26"/>
      <c r="G914" s="26"/>
      <c r="H914" s="26"/>
      <c r="I914" s="26"/>
      <c r="J914" s="26"/>
      <c r="K914" s="26"/>
      <c r="L914" s="26"/>
      <c r="M914" s="26"/>
      <c r="N914" s="26"/>
      <c r="O914" s="26"/>
      <c r="P914" s="26"/>
      <c r="Q914" s="26"/>
      <c r="R914" s="27"/>
    </row>
    <row r="915" spans="2:18" x14ac:dyDescent="0.25">
      <c r="B915" s="32"/>
      <c r="C915" s="24"/>
      <c r="D915" s="25"/>
      <c r="E915" s="26"/>
      <c r="F915" s="26"/>
      <c r="G915" s="26"/>
      <c r="H915" s="26"/>
      <c r="I915" s="26"/>
      <c r="J915" s="26"/>
      <c r="K915" s="26"/>
      <c r="L915" s="26"/>
      <c r="M915" s="26"/>
      <c r="N915" s="26"/>
      <c r="O915" s="26"/>
      <c r="P915" s="26"/>
      <c r="Q915" s="26"/>
      <c r="R915" s="27"/>
    </row>
    <row r="916" spans="2:18" x14ac:dyDescent="0.25">
      <c r="B916" s="32"/>
      <c r="C916" s="24"/>
      <c r="D916" s="25"/>
      <c r="E916" s="26"/>
      <c r="F916" s="26"/>
      <c r="G916" s="26"/>
      <c r="H916" s="26"/>
      <c r="I916" s="26"/>
      <c r="J916" s="26"/>
      <c r="K916" s="26"/>
      <c r="L916" s="26"/>
      <c r="M916" s="26"/>
      <c r="N916" s="26"/>
      <c r="O916" s="26"/>
      <c r="P916" s="26"/>
      <c r="Q916" s="26"/>
      <c r="R916" s="27"/>
    </row>
    <row r="917" spans="2:18" x14ac:dyDescent="0.25">
      <c r="B917" s="32"/>
      <c r="C917" s="24"/>
      <c r="D917" s="25"/>
      <c r="E917" s="26"/>
      <c r="F917" s="26"/>
      <c r="G917" s="26"/>
      <c r="H917" s="26"/>
      <c r="I917" s="26"/>
      <c r="J917" s="26"/>
      <c r="K917" s="26"/>
      <c r="L917" s="26"/>
      <c r="M917" s="26"/>
      <c r="N917" s="26"/>
      <c r="O917" s="26"/>
      <c r="P917" s="26"/>
      <c r="Q917" s="26"/>
      <c r="R917" s="27"/>
    </row>
    <row r="918" spans="2:18" x14ac:dyDescent="0.25">
      <c r="B918" s="32"/>
      <c r="C918" s="24"/>
      <c r="D918" s="25"/>
      <c r="E918" s="26"/>
      <c r="F918" s="26"/>
      <c r="G918" s="26"/>
      <c r="H918" s="26"/>
      <c r="I918" s="26"/>
      <c r="J918" s="26"/>
      <c r="K918" s="26"/>
      <c r="L918" s="26"/>
      <c r="M918" s="26"/>
      <c r="N918" s="26"/>
      <c r="O918" s="26"/>
      <c r="P918" s="26"/>
      <c r="Q918" s="26"/>
      <c r="R918" s="27"/>
    </row>
    <row r="919" spans="2:18" x14ac:dyDescent="0.25">
      <c r="B919" s="32"/>
      <c r="C919" s="24"/>
      <c r="D919" s="25"/>
      <c r="E919" s="26"/>
      <c r="F919" s="26"/>
      <c r="G919" s="26"/>
      <c r="H919" s="26"/>
      <c r="I919" s="26"/>
      <c r="J919" s="26"/>
      <c r="K919" s="26"/>
      <c r="L919" s="26"/>
      <c r="M919" s="26"/>
      <c r="N919" s="26"/>
      <c r="O919" s="26"/>
      <c r="P919" s="26"/>
      <c r="Q919" s="26"/>
      <c r="R919" s="27"/>
    </row>
    <row r="920" spans="2:18" x14ac:dyDescent="0.25">
      <c r="B920" s="32"/>
      <c r="C920" s="24"/>
      <c r="D920" s="25"/>
      <c r="E920" s="26"/>
      <c r="F920" s="26"/>
      <c r="G920" s="26"/>
      <c r="H920" s="26"/>
      <c r="I920" s="26"/>
      <c r="J920" s="26"/>
      <c r="K920" s="26"/>
      <c r="L920" s="26"/>
      <c r="M920" s="26"/>
      <c r="N920" s="26"/>
      <c r="O920" s="26"/>
      <c r="P920" s="26"/>
      <c r="Q920" s="26"/>
      <c r="R920" s="27"/>
    </row>
    <row r="921" spans="2:18" x14ac:dyDescent="0.25">
      <c r="B921" s="32"/>
      <c r="C921" s="24"/>
      <c r="D921" s="25"/>
      <c r="E921" s="26"/>
      <c r="F921" s="26"/>
      <c r="G921" s="26"/>
      <c r="H921" s="26"/>
      <c r="I921" s="26"/>
      <c r="J921" s="26"/>
      <c r="K921" s="26"/>
      <c r="L921" s="26"/>
      <c r="M921" s="26"/>
      <c r="N921" s="26"/>
      <c r="O921" s="26"/>
      <c r="P921" s="26"/>
      <c r="Q921" s="26"/>
      <c r="R921" s="27"/>
    </row>
    <row r="922" spans="2:18" x14ac:dyDescent="0.25">
      <c r="B922" s="32"/>
      <c r="C922" s="24"/>
      <c r="D922" s="25"/>
      <c r="E922" s="26"/>
      <c r="F922" s="26"/>
      <c r="G922" s="26"/>
      <c r="H922" s="26"/>
      <c r="I922" s="26"/>
      <c r="J922" s="26"/>
      <c r="K922" s="26"/>
      <c r="L922" s="26"/>
      <c r="M922" s="26"/>
      <c r="N922" s="26"/>
      <c r="O922" s="26"/>
      <c r="P922" s="26"/>
      <c r="Q922" s="26"/>
      <c r="R922" s="27"/>
    </row>
    <row r="923" spans="2:18" x14ac:dyDescent="0.25">
      <c r="B923" s="32"/>
      <c r="C923" s="24"/>
      <c r="D923" s="25"/>
      <c r="E923" s="26"/>
      <c r="F923" s="26"/>
      <c r="G923" s="26"/>
      <c r="H923" s="26"/>
      <c r="I923" s="26"/>
      <c r="J923" s="26"/>
      <c r="K923" s="26"/>
      <c r="L923" s="26"/>
      <c r="M923" s="26"/>
      <c r="N923" s="26"/>
      <c r="O923" s="26"/>
      <c r="P923" s="26"/>
      <c r="Q923" s="26"/>
      <c r="R923" s="27"/>
    </row>
    <row r="924" spans="2:18" x14ac:dyDescent="0.25">
      <c r="B924" s="32"/>
      <c r="C924" s="24"/>
      <c r="D924" s="25"/>
      <c r="E924" s="26"/>
      <c r="F924" s="26"/>
      <c r="G924" s="26"/>
      <c r="H924" s="26"/>
      <c r="I924" s="26"/>
      <c r="J924" s="26"/>
      <c r="K924" s="26"/>
      <c r="L924" s="26"/>
      <c r="M924" s="26"/>
      <c r="N924" s="26"/>
      <c r="O924" s="26"/>
      <c r="P924" s="26"/>
      <c r="Q924" s="26"/>
      <c r="R924" s="27"/>
    </row>
    <row r="925" spans="2:18" ht="16.5" thickBot="1" x14ac:dyDescent="0.3">
      <c r="B925" s="32"/>
      <c r="C925" s="24"/>
      <c r="D925" s="25"/>
      <c r="E925" s="26"/>
      <c r="F925" s="26"/>
      <c r="G925" s="26"/>
      <c r="H925" s="26"/>
      <c r="I925" s="26"/>
      <c r="J925" s="26"/>
      <c r="K925" s="26"/>
      <c r="L925" s="26"/>
      <c r="M925" s="26"/>
      <c r="N925" s="26"/>
      <c r="O925" s="26"/>
      <c r="P925" s="26"/>
      <c r="Q925" s="26"/>
      <c r="R925" s="27"/>
    </row>
    <row r="926" spans="2:18" ht="18.75" x14ac:dyDescent="0.3">
      <c r="B926" s="32"/>
      <c r="C926" s="202" t="s">
        <v>581</v>
      </c>
      <c r="D926" s="614" t="s">
        <v>7</v>
      </c>
      <c r="E926" s="615" t="s">
        <v>103</v>
      </c>
      <c r="F926" s="615" t="s">
        <v>104</v>
      </c>
      <c r="G926" s="615" t="s">
        <v>105</v>
      </c>
      <c r="H926" s="615" t="s">
        <v>106</v>
      </c>
      <c r="I926" s="203" t="s">
        <v>108</v>
      </c>
      <c r="J926" s="204" t="s">
        <v>268</v>
      </c>
      <c r="K926" s="26"/>
      <c r="L926" s="26"/>
      <c r="M926" s="26"/>
      <c r="N926" s="26"/>
      <c r="O926" s="26"/>
      <c r="P926" s="26"/>
      <c r="Q926" s="26"/>
      <c r="R926" s="27"/>
    </row>
    <row r="927" spans="2:18" x14ac:dyDescent="0.25">
      <c r="B927" s="32"/>
      <c r="C927" s="205" t="s">
        <v>582</v>
      </c>
      <c r="D927" s="269">
        <v>100</v>
      </c>
      <c r="E927" s="269">
        <v>110</v>
      </c>
      <c r="F927" s="269">
        <v>120</v>
      </c>
      <c r="G927" s="269">
        <v>130</v>
      </c>
      <c r="H927" s="269">
        <v>140</v>
      </c>
      <c r="I927" s="266">
        <f t="shared" ref="I927:I935" si="90">IF(AND(ISNUMBER(D927),ISNUMBER(E927),ISNUMBER(F927),ISNUMBER(G927),ISNUMBER(H927)),TREND(D927:H927,D$304:H$304,I$304),"SIN DATOS")</f>
        <v>150</v>
      </c>
      <c r="J927" s="206"/>
      <c r="K927" s="26"/>
      <c r="L927" s="26"/>
      <c r="M927" s="26"/>
      <c r="N927" s="26"/>
      <c r="O927" s="26"/>
      <c r="P927" s="26"/>
      <c r="Q927" s="26"/>
      <c r="R927" s="27"/>
    </row>
    <row r="928" spans="2:18" x14ac:dyDescent="0.25">
      <c r="B928" s="32"/>
      <c r="C928" s="205" t="s">
        <v>580</v>
      </c>
      <c r="D928" s="269"/>
      <c r="E928" s="269"/>
      <c r="F928" s="269"/>
      <c r="G928" s="269"/>
      <c r="H928" s="269"/>
      <c r="I928" s="266" t="str">
        <f t="shared" si="90"/>
        <v>SIN DATOS</v>
      </c>
      <c r="J928" s="206"/>
      <c r="K928" s="26"/>
      <c r="L928" s="26"/>
      <c r="M928" s="26"/>
      <c r="N928" s="26"/>
      <c r="O928" s="26"/>
      <c r="P928" s="26"/>
      <c r="Q928" s="26"/>
      <c r="R928" s="27"/>
    </row>
    <row r="929" spans="2:18" x14ac:dyDescent="0.25">
      <c r="B929" s="32"/>
      <c r="C929" s="205" t="s">
        <v>579</v>
      </c>
      <c r="D929" s="269"/>
      <c r="E929" s="269"/>
      <c r="F929" s="269"/>
      <c r="G929" s="269"/>
      <c r="H929" s="269"/>
      <c r="I929" s="266" t="str">
        <f t="shared" si="90"/>
        <v>SIN DATOS</v>
      </c>
      <c r="J929" s="206"/>
      <c r="K929" s="26"/>
      <c r="L929" s="26"/>
      <c r="M929" s="26"/>
      <c r="N929" s="26"/>
      <c r="O929" s="26"/>
      <c r="P929" s="26"/>
      <c r="Q929" s="26"/>
      <c r="R929" s="27"/>
    </row>
    <row r="930" spans="2:18" x14ac:dyDescent="0.25">
      <c r="B930" s="32"/>
      <c r="C930" s="205" t="s">
        <v>583</v>
      </c>
      <c r="D930" s="269">
        <v>50</v>
      </c>
      <c r="E930" s="269">
        <v>50</v>
      </c>
      <c r="F930" s="269">
        <v>50</v>
      </c>
      <c r="G930" s="269">
        <v>50</v>
      </c>
      <c r="H930" s="269">
        <v>50</v>
      </c>
      <c r="I930" s="266">
        <f t="shared" si="90"/>
        <v>50</v>
      </c>
      <c r="J930" s="206"/>
      <c r="K930" s="26"/>
      <c r="L930" s="26"/>
      <c r="M930" s="26"/>
      <c r="N930" s="26"/>
      <c r="O930" s="26"/>
      <c r="P930" s="26"/>
      <c r="Q930" s="26"/>
      <c r="R930" s="27"/>
    </row>
    <row r="931" spans="2:18" x14ac:dyDescent="0.25">
      <c r="B931" s="32"/>
      <c r="C931" s="205" t="s">
        <v>584</v>
      </c>
      <c r="D931" s="269"/>
      <c r="E931" s="269"/>
      <c r="F931" s="269"/>
      <c r="G931" s="269"/>
      <c r="H931" s="269"/>
      <c r="I931" s="266" t="str">
        <f t="shared" si="90"/>
        <v>SIN DATOS</v>
      </c>
      <c r="J931" s="206"/>
      <c r="K931" s="26"/>
      <c r="L931" s="26"/>
      <c r="M931" s="26"/>
      <c r="N931" s="26"/>
      <c r="O931" s="26"/>
      <c r="P931" s="26"/>
      <c r="Q931" s="26"/>
      <c r="R931" s="27"/>
    </row>
    <row r="932" spans="2:18" x14ac:dyDescent="0.25">
      <c r="B932" s="32"/>
      <c r="C932" s="205" t="s">
        <v>585</v>
      </c>
      <c r="D932" s="269"/>
      <c r="E932" s="269"/>
      <c r="F932" s="269"/>
      <c r="G932" s="269"/>
      <c r="H932" s="269"/>
      <c r="I932" s="266" t="str">
        <f t="shared" si="90"/>
        <v>SIN DATOS</v>
      </c>
      <c r="J932" s="206"/>
      <c r="K932" s="26"/>
      <c r="L932" s="26"/>
      <c r="M932" s="26"/>
      <c r="N932" s="26"/>
      <c r="O932" s="26"/>
      <c r="P932" s="26"/>
      <c r="Q932" s="26"/>
      <c r="R932" s="27"/>
    </row>
    <row r="933" spans="2:18" x14ac:dyDescent="0.25">
      <c r="B933" s="32"/>
      <c r="C933" s="205" t="s">
        <v>586</v>
      </c>
      <c r="D933" s="269"/>
      <c r="E933" s="269"/>
      <c r="F933" s="269"/>
      <c r="G933" s="269"/>
      <c r="H933" s="269"/>
      <c r="I933" s="266" t="str">
        <f t="shared" si="90"/>
        <v>SIN DATOS</v>
      </c>
      <c r="J933" s="206"/>
      <c r="K933" s="26"/>
      <c r="L933" s="26"/>
      <c r="M933" s="26"/>
      <c r="N933" s="26"/>
      <c r="O933" s="26"/>
      <c r="P933" s="26"/>
      <c r="Q933" s="26"/>
      <c r="R933" s="27"/>
    </row>
    <row r="934" spans="2:18" x14ac:dyDescent="0.25">
      <c r="B934" s="32"/>
      <c r="C934" s="205" t="s">
        <v>587</v>
      </c>
      <c r="D934" s="269">
        <v>100</v>
      </c>
      <c r="E934" s="269">
        <v>50</v>
      </c>
      <c r="F934" s="269">
        <v>25</v>
      </c>
      <c r="G934" s="269">
        <v>10</v>
      </c>
      <c r="H934" s="269">
        <v>10</v>
      </c>
      <c r="I934" s="266">
        <f t="shared" si="90"/>
        <v>-27</v>
      </c>
      <c r="J934" s="206"/>
      <c r="K934" s="26"/>
      <c r="L934" s="26"/>
      <c r="M934" s="26"/>
      <c r="N934" s="26"/>
      <c r="O934" s="26"/>
      <c r="P934" s="26"/>
      <c r="Q934" s="26"/>
      <c r="R934" s="27"/>
    </row>
    <row r="935" spans="2:18" ht="16.5" thickBot="1" x14ac:dyDescent="0.3">
      <c r="B935" s="32"/>
      <c r="C935" s="207" t="s">
        <v>588</v>
      </c>
      <c r="D935" s="270"/>
      <c r="E935" s="270"/>
      <c r="F935" s="270"/>
      <c r="G935" s="270"/>
      <c r="H935" s="270"/>
      <c r="I935" s="271" t="str">
        <f t="shared" si="90"/>
        <v>SIN DATOS</v>
      </c>
      <c r="J935" s="208"/>
      <c r="K935" s="26"/>
      <c r="L935" s="26"/>
      <c r="M935" s="26"/>
      <c r="N935" s="26"/>
      <c r="O935" s="26"/>
      <c r="P935" s="26"/>
      <c r="Q935" s="26"/>
      <c r="R935" s="27"/>
    </row>
    <row r="936" spans="2:18" x14ac:dyDescent="0.25">
      <c r="B936" s="32"/>
      <c r="C936" s="24"/>
      <c r="D936" s="25"/>
      <c r="E936" s="26"/>
      <c r="F936" s="26"/>
      <c r="G936" s="26"/>
      <c r="H936" s="26"/>
      <c r="I936" s="26"/>
      <c r="J936" s="26"/>
      <c r="K936" s="26"/>
      <c r="L936" s="26"/>
      <c r="M936" s="26"/>
      <c r="N936" s="26"/>
      <c r="O936" s="26"/>
      <c r="P936" s="26"/>
      <c r="Q936" s="26"/>
      <c r="R936" s="27"/>
    </row>
    <row r="937" spans="2:18" s="65" customFormat="1" ht="16.5" thickBot="1" x14ac:dyDescent="0.3">
      <c r="B937" s="69"/>
      <c r="C937" s="123"/>
      <c r="D937" s="72"/>
      <c r="E937" s="72"/>
      <c r="F937" s="72"/>
      <c r="G937" s="142"/>
      <c r="H937" s="72"/>
      <c r="I937" s="72"/>
      <c r="J937" s="72"/>
      <c r="K937" s="72"/>
      <c r="L937" s="72"/>
      <c r="M937" s="72"/>
      <c r="N937" s="72"/>
      <c r="O937" s="72"/>
      <c r="P937" s="72"/>
      <c r="Q937" s="72"/>
      <c r="R937" s="79"/>
    </row>
    <row r="938" spans="2:18" ht="15" x14ac:dyDescent="0.25">
      <c r="B938" s="131"/>
      <c r="C938" s="131"/>
      <c r="D938" s="131"/>
    </row>
    <row r="940" spans="2:18" ht="16.5" thickBot="1" x14ac:dyDescent="0.3"/>
    <row r="941" spans="2:18" ht="21.75" thickBot="1" x14ac:dyDescent="0.4">
      <c r="B941" s="200" t="s">
        <v>528</v>
      </c>
      <c r="C941" s="616"/>
      <c r="D941" s="617"/>
      <c r="E941" s="22"/>
      <c r="F941" s="22"/>
      <c r="G941" s="22"/>
      <c r="H941" s="22"/>
      <c r="I941" s="22"/>
      <c r="J941" s="22"/>
      <c r="K941" s="22"/>
      <c r="L941" s="22"/>
      <c r="M941" s="22"/>
      <c r="N941" s="22"/>
      <c r="O941" s="22"/>
      <c r="P941" s="22"/>
      <c r="Q941" s="22"/>
      <c r="R941" s="23"/>
    </row>
    <row r="942" spans="2:18" ht="15" x14ac:dyDescent="0.25">
      <c r="B942" s="32"/>
      <c r="C942" s="26"/>
      <c r="D942" s="26"/>
      <c r="E942" s="26"/>
      <c r="F942" s="26"/>
      <c r="G942" s="26"/>
      <c r="H942" s="26"/>
      <c r="I942" s="26"/>
      <c r="J942" s="26"/>
      <c r="K942" s="26"/>
      <c r="L942" s="26"/>
      <c r="M942" s="26"/>
      <c r="N942" s="26"/>
      <c r="O942" s="26"/>
      <c r="P942" s="26"/>
      <c r="Q942" s="26"/>
      <c r="R942" s="27"/>
    </row>
    <row r="943" spans="2:18" ht="15" x14ac:dyDescent="0.25">
      <c r="B943" s="32"/>
      <c r="C943" s="26"/>
      <c r="D943" s="26"/>
      <c r="E943" s="26"/>
      <c r="F943" s="26"/>
      <c r="G943" s="26"/>
      <c r="H943" s="26"/>
      <c r="I943" s="26"/>
      <c r="J943" s="26"/>
      <c r="K943" s="26"/>
      <c r="L943" s="26"/>
      <c r="M943" s="26"/>
      <c r="N943" s="26"/>
      <c r="O943" s="26"/>
      <c r="P943" s="26"/>
      <c r="Q943" s="26"/>
      <c r="R943" s="27"/>
    </row>
    <row r="944" spans="2:18" ht="15" x14ac:dyDescent="0.25">
      <c r="B944" s="32"/>
      <c r="C944" s="26"/>
      <c r="D944" s="26"/>
      <c r="E944" s="26"/>
      <c r="F944" s="26"/>
      <c r="G944" s="26"/>
      <c r="H944" s="26"/>
      <c r="I944" s="26"/>
      <c r="J944" s="26"/>
      <c r="K944" s="26"/>
      <c r="L944" s="26"/>
      <c r="M944" s="26"/>
      <c r="N944" s="26"/>
      <c r="O944" s="26"/>
      <c r="P944" s="26"/>
      <c r="Q944" s="26"/>
      <c r="R944" s="27"/>
    </row>
    <row r="945" spans="2:18" ht="15" x14ac:dyDescent="0.25">
      <c r="B945" s="32"/>
      <c r="C945" s="26"/>
      <c r="D945" s="26"/>
      <c r="E945" s="26"/>
      <c r="F945" s="26"/>
      <c r="G945" s="26"/>
      <c r="H945" s="26"/>
      <c r="I945" s="26"/>
      <c r="J945" s="26"/>
      <c r="K945" s="26"/>
      <c r="L945" s="26"/>
      <c r="M945" s="26"/>
      <c r="N945" s="26"/>
      <c r="O945" s="26"/>
      <c r="P945" s="26"/>
      <c r="Q945" s="26"/>
      <c r="R945" s="27"/>
    </row>
    <row r="946" spans="2:18" ht="15" x14ac:dyDescent="0.25">
      <c r="B946" s="32"/>
      <c r="C946" s="26"/>
      <c r="D946" s="26"/>
      <c r="E946" s="26"/>
      <c r="F946" s="26"/>
      <c r="G946" s="26"/>
      <c r="H946" s="26"/>
      <c r="I946" s="26"/>
      <c r="J946" s="26"/>
      <c r="K946" s="26"/>
      <c r="L946" s="26"/>
      <c r="M946" s="26"/>
      <c r="N946" s="26"/>
      <c r="O946" s="26"/>
      <c r="P946" s="26"/>
      <c r="Q946" s="26"/>
      <c r="R946" s="27"/>
    </row>
    <row r="947" spans="2:18" ht="15" x14ac:dyDescent="0.25">
      <c r="B947" s="32"/>
      <c r="C947" s="26"/>
      <c r="D947" s="26"/>
      <c r="E947" s="26"/>
      <c r="F947" s="26"/>
      <c r="G947" s="26"/>
      <c r="H947" s="26"/>
      <c r="I947" s="26"/>
      <c r="J947" s="26"/>
      <c r="K947" s="26"/>
      <c r="L947" s="26"/>
      <c r="M947" s="26"/>
      <c r="N947" s="26"/>
      <c r="O947" s="26"/>
      <c r="P947" s="26"/>
      <c r="Q947" s="26"/>
      <c r="R947" s="27"/>
    </row>
    <row r="948" spans="2:18" ht="15" x14ac:dyDescent="0.25">
      <c r="B948" s="32"/>
      <c r="C948" s="26"/>
      <c r="D948" s="26"/>
      <c r="E948" s="26"/>
      <c r="F948" s="26"/>
      <c r="G948" s="26"/>
      <c r="H948" s="26"/>
      <c r="I948" s="26"/>
      <c r="J948" s="26"/>
      <c r="K948" s="26"/>
      <c r="L948" s="26"/>
      <c r="M948" s="26"/>
      <c r="N948" s="26"/>
      <c r="O948" s="26"/>
      <c r="P948" s="26"/>
      <c r="Q948" s="26"/>
      <c r="R948" s="27"/>
    </row>
    <row r="949" spans="2:18" ht="15" x14ac:dyDescent="0.25">
      <c r="B949" s="32"/>
      <c r="C949" s="26"/>
      <c r="D949" s="26"/>
      <c r="E949" s="26"/>
      <c r="F949" s="26"/>
      <c r="G949" s="26"/>
      <c r="H949" s="26"/>
      <c r="I949" s="26"/>
      <c r="J949" s="26"/>
      <c r="K949" s="26"/>
      <c r="L949" s="26"/>
      <c r="M949" s="26"/>
      <c r="N949" s="26"/>
      <c r="O949" s="26"/>
      <c r="P949" s="26"/>
      <c r="Q949" s="26"/>
      <c r="R949" s="27"/>
    </row>
    <row r="950" spans="2:18" ht="15" x14ac:dyDescent="0.25">
      <c r="B950" s="32"/>
      <c r="C950" s="26"/>
      <c r="D950" s="26"/>
      <c r="E950" s="26"/>
      <c r="F950" s="26"/>
      <c r="G950" s="26"/>
      <c r="H950" s="26"/>
      <c r="I950" s="26"/>
      <c r="J950" s="26"/>
      <c r="K950" s="26"/>
      <c r="L950" s="26"/>
      <c r="M950" s="26"/>
      <c r="N950" s="26"/>
      <c r="O950" s="26"/>
      <c r="P950" s="26"/>
      <c r="Q950" s="26"/>
      <c r="R950" s="27"/>
    </row>
    <row r="951" spans="2:18" ht="15" x14ac:dyDescent="0.25">
      <c r="B951" s="32"/>
      <c r="C951" s="26"/>
      <c r="D951" s="26"/>
      <c r="E951" s="26"/>
      <c r="F951" s="26"/>
      <c r="G951" s="26"/>
      <c r="H951" s="26"/>
      <c r="I951" s="26"/>
      <c r="J951" s="26"/>
      <c r="K951" s="26"/>
      <c r="L951" s="26"/>
      <c r="M951" s="26"/>
      <c r="N951" s="26"/>
      <c r="O951" s="26"/>
      <c r="P951" s="26"/>
      <c r="Q951" s="26"/>
      <c r="R951" s="27"/>
    </row>
    <row r="952" spans="2:18" thickBot="1" x14ac:dyDescent="0.3">
      <c r="B952" s="32"/>
      <c r="C952" s="26"/>
      <c r="D952" s="26"/>
      <c r="E952" s="26"/>
      <c r="F952" s="26"/>
      <c r="G952" s="26"/>
      <c r="H952" s="26"/>
      <c r="I952" s="26"/>
      <c r="J952" s="26"/>
      <c r="K952" s="26"/>
      <c r="L952" s="26"/>
      <c r="M952" s="26"/>
      <c r="N952" s="26"/>
      <c r="O952" s="26"/>
      <c r="P952" s="26"/>
      <c r="Q952" s="26"/>
      <c r="R952" s="27"/>
    </row>
    <row r="953" spans="2:18" ht="19.5" thickBot="1" x14ac:dyDescent="0.35">
      <c r="B953" s="32"/>
      <c r="C953" s="302" t="s">
        <v>602</v>
      </c>
      <c r="D953" s="614" t="s">
        <v>7</v>
      </c>
      <c r="E953" s="615" t="s">
        <v>103</v>
      </c>
      <c r="F953" s="615" t="s">
        <v>104</v>
      </c>
      <c r="G953" s="615" t="s">
        <v>105</v>
      </c>
      <c r="H953" s="615" t="s">
        <v>106</v>
      </c>
      <c r="I953" s="618" t="s">
        <v>108</v>
      </c>
      <c r="J953" s="613" t="s">
        <v>268</v>
      </c>
      <c r="K953" s="26"/>
      <c r="L953" s="26"/>
      <c r="M953" s="26"/>
      <c r="N953" s="26"/>
      <c r="O953" s="26"/>
      <c r="P953" s="26"/>
      <c r="Q953" s="26"/>
      <c r="R953" s="27"/>
    </row>
    <row r="954" spans="2:18" x14ac:dyDescent="0.25">
      <c r="B954" s="32"/>
      <c r="C954" s="182" t="s">
        <v>595</v>
      </c>
      <c r="D954" s="189">
        <f>D353+D354+D355-D356+D357-D359+D365</f>
        <v>79920</v>
      </c>
      <c r="E954" s="189">
        <f>E353+E354+E355-E356+E357-E359+E365</f>
        <v>85576.8</v>
      </c>
      <c r="F954" s="189">
        <f>F353+F354+F355-F356+F357-F359+F365</f>
        <v>90560.736000000004</v>
      </c>
      <c r="G954" s="189">
        <f>G353+G354+G355-G356+G357-G359+G365</f>
        <v>99529.083360000019</v>
      </c>
      <c r="H954" s="189">
        <f>H353+H354+H355-H356+H357-H359+H365</f>
        <v>115447.58739360003</v>
      </c>
      <c r="I954" s="190">
        <f t="shared" ref="I954:I959" si="91">IF(AND(ISNUMBER(D954),ISNUMBER(E954),ISNUMBER(F954),ISNUMBER(G954),ISNUMBER(H954)),TREND(D954:H954,D$304:H$304,I$304),"SIN DATOS")</f>
        <v>119709.07879488001</v>
      </c>
      <c r="J954" s="177"/>
      <c r="K954" s="26" t="s">
        <v>596</v>
      </c>
      <c r="L954" s="26"/>
      <c r="M954" s="26"/>
      <c r="N954" s="26"/>
      <c r="O954" s="26"/>
      <c r="P954" s="26"/>
      <c r="Q954" s="26"/>
      <c r="R954" s="27"/>
    </row>
    <row r="955" spans="2:18" x14ac:dyDescent="0.25">
      <c r="B955" s="32"/>
      <c r="C955" s="272" t="s">
        <v>597</v>
      </c>
      <c r="D955" s="273">
        <f>D358</f>
        <v>63360</v>
      </c>
      <c r="E955" s="273">
        <f>E358</f>
        <v>65260.800000000003</v>
      </c>
      <c r="F955" s="273">
        <f>F358</f>
        <v>67218.624000000011</v>
      </c>
      <c r="G955" s="273">
        <f>G358</f>
        <v>69235.182720000012</v>
      </c>
      <c r="H955" s="273">
        <f>H358</f>
        <v>71312.238201600019</v>
      </c>
      <c r="I955" s="190">
        <f t="shared" si="91"/>
        <v>73241.026721280025</v>
      </c>
      <c r="J955" s="177"/>
      <c r="K955" s="26" t="s">
        <v>604</v>
      </c>
      <c r="L955" s="26"/>
      <c r="M955" s="26"/>
      <c r="N955" s="26"/>
      <c r="O955" s="26"/>
      <c r="P955" s="26"/>
      <c r="Q955" s="26"/>
      <c r="R955" s="27"/>
    </row>
    <row r="956" spans="2:18" x14ac:dyDescent="0.25">
      <c r="B956" s="32"/>
      <c r="C956" s="272" t="s">
        <v>598</v>
      </c>
      <c r="D956" s="273">
        <f>IF(ISNUMBER(D374),D374,"SIN DATOS")</f>
        <v>2870.1027481630322</v>
      </c>
      <c r="E956" s="273">
        <f>IF(ISNUMBER(E374),E374,"SIN DATOS")</f>
        <v>3585.1996487268116</v>
      </c>
      <c r="F956" s="273">
        <f>IF(ISNUMBER(F374),F374,"SIN DATOS")</f>
        <v>4164.1115623828755</v>
      </c>
      <c r="G956" s="273">
        <f>IF(ISNUMBER(G374),G374,"SIN DATOS")</f>
        <v>5479.79812239487</v>
      </c>
      <c r="H956" s="273">
        <f>IF(ISNUMBER(H374),H374,"SIN DATOS")</f>
        <v>8116.1750005542417</v>
      </c>
      <c r="I956" s="190">
        <f t="shared" si="91"/>
        <v>8559.1003099795089</v>
      </c>
      <c r="J956" s="177"/>
      <c r="K956" s="26" t="s">
        <v>605</v>
      </c>
      <c r="L956" s="26"/>
      <c r="M956" s="26"/>
      <c r="N956" s="26"/>
      <c r="O956" s="26"/>
      <c r="P956" s="26"/>
      <c r="Q956" s="26"/>
      <c r="R956" s="27"/>
    </row>
    <row r="957" spans="2:18" x14ac:dyDescent="0.25">
      <c r="B957" s="32"/>
      <c r="C957" s="272" t="s">
        <v>599</v>
      </c>
      <c r="D957" s="273">
        <f>IF(ISNUMBER(D366),D366,"SIN DATOS")</f>
        <v>292.78534313049511</v>
      </c>
      <c r="E957" s="273">
        <f>IF(ISNUMBER(E366),E366,"SIN DATOS")</f>
        <v>234.93520679033745</v>
      </c>
      <c r="F957" s="273">
        <f>IF(ISNUMBER(F366),F366,"SIN DATOS")</f>
        <v>173.51700062465579</v>
      </c>
      <c r="G957" s="273">
        <f>IF(ISNUMBER(G366),G366,"SIN DATOS")</f>
        <v>108.31065389403217</v>
      </c>
      <c r="H957" s="273">
        <f>IF(ISNUMBER(H366),H366,"SIN DATOS")</f>
        <v>39.082522377385843</v>
      </c>
      <c r="I957" s="190">
        <f t="shared" si="91"/>
        <v>-20.482912957375845</v>
      </c>
      <c r="J957" s="177"/>
      <c r="K957" s="26" t="s">
        <v>606</v>
      </c>
      <c r="L957" s="26"/>
      <c r="M957" s="26"/>
      <c r="N957" s="26"/>
      <c r="O957" s="26"/>
      <c r="P957" s="26"/>
      <c r="Q957" s="26"/>
      <c r="R957" s="27"/>
    </row>
    <row r="958" spans="2:18" x14ac:dyDescent="0.25">
      <c r="B958" s="32"/>
      <c r="C958" s="272" t="s">
        <v>600</v>
      </c>
      <c r="D958" s="273">
        <f>IF(ISNUMBER(D372),D372,"SIN DATOS")</f>
        <v>3826.8036642173761</v>
      </c>
      <c r="E958" s="273">
        <f>IF(ISNUMBER(E372),E372,"SIN DATOS")</f>
        <v>4780.2661983024154</v>
      </c>
      <c r="F958" s="273">
        <f>IF(ISNUMBER(F372),F372,"SIN DATOS")</f>
        <v>5552.1487498438346</v>
      </c>
      <c r="G958" s="273">
        <f>IF(ISNUMBER(G372),G372,"SIN DATOS")</f>
        <v>7306.3974965264933</v>
      </c>
      <c r="H958" s="273">
        <f>IF(ISNUMBER(H372),H372,"SIN DATOS")</f>
        <v>10821.566667405656</v>
      </c>
      <c r="I958" s="190">
        <f t="shared" si="91"/>
        <v>11412.133746639345</v>
      </c>
      <c r="J958" s="177"/>
      <c r="K958" s="26" t="s">
        <v>608</v>
      </c>
      <c r="L958" s="26"/>
      <c r="M958" s="26"/>
      <c r="N958" s="26"/>
      <c r="O958" s="26"/>
      <c r="P958" s="26"/>
      <c r="Q958" s="26"/>
      <c r="R958" s="27"/>
    </row>
    <row r="959" spans="2:18" ht="16.5" thickBot="1" x14ac:dyDescent="0.3">
      <c r="B959" s="32"/>
      <c r="C959" s="209" t="s">
        <v>601</v>
      </c>
      <c r="D959" s="387">
        <f>D360+D362+D375</f>
        <v>9570.308244489097</v>
      </c>
      <c r="E959" s="387">
        <f>E360+E362+E375</f>
        <v>11715.598946180435</v>
      </c>
      <c r="F959" s="387">
        <f>F360+F362+F375</f>
        <v>13452.334687148626</v>
      </c>
      <c r="G959" s="387">
        <f>G360+G362+G375</f>
        <v>17399.39436718461</v>
      </c>
      <c r="H959" s="387">
        <f>H360+H362+H375</f>
        <v>25158.525001662725</v>
      </c>
      <c r="I959" s="265">
        <f t="shared" si="91"/>
        <v>26517.300929938523</v>
      </c>
      <c r="J959" s="264"/>
      <c r="K959" s="26" t="s">
        <v>607</v>
      </c>
      <c r="L959" s="26"/>
      <c r="M959" s="26"/>
      <c r="N959" s="26"/>
      <c r="O959" s="26"/>
      <c r="P959" s="26"/>
      <c r="Q959" s="26"/>
      <c r="R959" s="27"/>
    </row>
    <row r="960" spans="2:18" thickBot="1" x14ac:dyDescent="0.3">
      <c r="B960" s="32"/>
      <c r="C960" s="26"/>
      <c r="D960" s="274"/>
      <c r="E960" s="274"/>
      <c r="F960" s="274"/>
      <c r="G960" s="274"/>
      <c r="H960" s="274"/>
      <c r="I960" s="26"/>
      <c r="J960" s="26"/>
      <c r="K960" s="274"/>
      <c r="L960" s="274"/>
      <c r="M960" s="26"/>
      <c r="N960" s="26"/>
      <c r="O960" s="26"/>
      <c r="P960" s="26"/>
      <c r="Q960" s="26"/>
      <c r="R960" s="27"/>
    </row>
    <row r="961" spans="2:18" ht="19.5" thickBot="1" x14ac:dyDescent="0.35">
      <c r="B961" s="32"/>
      <c r="C961" s="302" t="s">
        <v>603</v>
      </c>
      <c r="D961" s="614" t="s">
        <v>7</v>
      </c>
      <c r="E961" s="615" t="s">
        <v>103</v>
      </c>
      <c r="F961" s="615" t="s">
        <v>104</v>
      </c>
      <c r="G961" s="615" t="s">
        <v>105</v>
      </c>
      <c r="H961" s="615" t="s">
        <v>106</v>
      </c>
      <c r="I961" s="618" t="s">
        <v>108</v>
      </c>
      <c r="J961" s="613" t="s">
        <v>268</v>
      </c>
      <c r="K961" s="26"/>
      <c r="L961" s="26"/>
      <c r="M961" s="26"/>
      <c r="N961" s="26"/>
      <c r="O961" s="26"/>
      <c r="P961" s="26"/>
      <c r="Q961" s="26"/>
      <c r="R961" s="27"/>
    </row>
    <row r="962" spans="2:18" ht="16.5" thickBot="1" x14ac:dyDescent="0.3">
      <c r="B962" s="32"/>
      <c r="C962" s="182" t="s">
        <v>595</v>
      </c>
      <c r="D962" s="388">
        <f>Sector!F42</f>
        <v>13391470</v>
      </c>
      <c r="E962" s="388">
        <f>Sector!G42</f>
        <v>14095500</v>
      </c>
      <c r="F962" s="388">
        <f>Sector!H42</f>
        <v>14825551</v>
      </c>
      <c r="G962" s="388">
        <f>Sector!I42</f>
        <v>15110630</v>
      </c>
      <c r="H962" s="388">
        <f>Sector!J42</f>
        <v>13126772</v>
      </c>
      <c r="I962" s="191">
        <f t="shared" ref="I962:I967" si="92">IF(AND(ISNUMBER(D962),ISNUMBER(E962),ISNUMBER(F962),ISNUMBER(G962),ISNUMBER(H962)),TREND(D962:H962,D$304:H$304,I$304),"SIN DATOS")</f>
        <v>14255704.800000001</v>
      </c>
      <c r="J962" s="176"/>
      <c r="K962" s="26"/>
      <c r="L962" s="26"/>
      <c r="M962" s="26"/>
      <c r="N962" s="26"/>
      <c r="O962" s="26"/>
      <c r="P962" s="26"/>
      <c r="Q962" s="26"/>
      <c r="R962" s="27"/>
    </row>
    <row r="963" spans="2:18" ht="16.5" thickBot="1" x14ac:dyDescent="0.3">
      <c r="B963" s="32"/>
      <c r="C963" s="272" t="s">
        <v>597</v>
      </c>
      <c r="D963" s="388">
        <f>Sector!F43</f>
        <v>8350369</v>
      </c>
      <c r="E963" s="388">
        <f>Sector!G43</f>
        <v>8946722</v>
      </c>
      <c r="F963" s="388">
        <f>Sector!H43</f>
        <v>9323705</v>
      </c>
      <c r="G963" s="388">
        <f>Sector!I43</f>
        <v>9921895</v>
      </c>
      <c r="H963" s="388">
        <f>Sector!J43</f>
        <v>8598042</v>
      </c>
      <c r="I963" s="191">
        <f t="shared" si="92"/>
        <v>9469302.3000000007</v>
      </c>
      <c r="J963" s="176"/>
      <c r="K963" s="26"/>
      <c r="L963" s="26"/>
      <c r="M963" s="26"/>
      <c r="N963" s="26"/>
      <c r="O963" s="26"/>
      <c r="P963" s="26"/>
      <c r="Q963" s="26"/>
      <c r="R963" s="27"/>
    </row>
    <row r="964" spans="2:18" ht="16.5" thickBot="1" x14ac:dyDescent="0.3">
      <c r="B964" s="32"/>
      <c r="C964" s="272" t="s">
        <v>598</v>
      </c>
      <c r="D964" s="388">
        <f>Sector!F75</f>
        <v>1168782</v>
      </c>
      <c r="E964" s="388">
        <f>Sector!G75</f>
        <v>1022815</v>
      </c>
      <c r="F964" s="388">
        <f>Sector!H75</f>
        <v>2361176</v>
      </c>
      <c r="G964" s="388">
        <f>Sector!I75</f>
        <v>971547</v>
      </c>
      <c r="H964" s="388">
        <f>Sector!J75</f>
        <v>1096025</v>
      </c>
      <c r="I964" s="191">
        <f t="shared" si="92"/>
        <v>1265034.4000000001</v>
      </c>
      <c r="J964" s="176"/>
      <c r="K964" s="26"/>
      <c r="L964" s="26"/>
      <c r="M964" s="26"/>
      <c r="N964" s="26"/>
      <c r="O964" s="26"/>
      <c r="P964" s="26"/>
      <c r="Q964" s="26"/>
      <c r="R964" s="27"/>
    </row>
    <row r="965" spans="2:18" ht="16.5" thickBot="1" x14ac:dyDescent="0.3">
      <c r="B965" s="32"/>
      <c r="C965" s="272" t="s">
        <v>599</v>
      </c>
      <c r="D965" s="388">
        <f>Sector!F51</f>
        <v>357076</v>
      </c>
      <c r="E965" s="388">
        <f>Sector!G51</f>
        <v>503044</v>
      </c>
      <c r="F965" s="388">
        <f>Sector!H51</f>
        <v>669631</v>
      </c>
      <c r="G965" s="388">
        <f>Sector!I51</f>
        <v>1018812</v>
      </c>
      <c r="H965" s="388">
        <f>Sector!J51</f>
        <v>680122</v>
      </c>
      <c r="I965" s="191">
        <f t="shared" si="92"/>
        <v>994295</v>
      </c>
      <c r="J965" s="176"/>
      <c r="K965" s="26"/>
      <c r="L965" s="26"/>
      <c r="M965" s="26"/>
      <c r="N965" s="26"/>
      <c r="O965" s="26"/>
      <c r="P965" s="26"/>
      <c r="Q965" s="26"/>
      <c r="R965" s="27"/>
    </row>
    <row r="966" spans="2:18" ht="16.5" thickBot="1" x14ac:dyDescent="0.3">
      <c r="B966" s="32"/>
      <c r="C966" s="272" t="s">
        <v>600</v>
      </c>
      <c r="D966" s="388">
        <f>Sector!F73</f>
        <v>887589</v>
      </c>
      <c r="E966" s="388">
        <f>Sector!G73</f>
        <v>787349</v>
      </c>
      <c r="F966" s="388">
        <f>Sector!H73</f>
        <v>759346</v>
      </c>
      <c r="G966" s="388">
        <f>Sector!I73</f>
        <v>551373</v>
      </c>
      <c r="H966" s="388">
        <f>Sector!J73</f>
        <v>451952</v>
      </c>
      <c r="I966" s="191">
        <f t="shared" si="92"/>
        <v>355346.80000000016</v>
      </c>
      <c r="J966" s="176"/>
      <c r="K966" s="26"/>
      <c r="L966" s="26"/>
      <c r="M966" s="26"/>
      <c r="N966" s="26"/>
      <c r="O966" s="26"/>
      <c r="P966" s="26"/>
      <c r="Q966" s="26"/>
      <c r="R966" s="27"/>
    </row>
    <row r="967" spans="2:18" ht="16.5" thickBot="1" x14ac:dyDescent="0.3">
      <c r="B967" s="32"/>
      <c r="C967" s="209" t="s">
        <v>601</v>
      </c>
      <c r="D967" s="387">
        <f>D962-SUM(D963:D966)</f>
        <v>2627654</v>
      </c>
      <c r="E967" s="387">
        <f t="shared" ref="E967:H967" si="93">E962-SUM(E963:E966)</f>
        <v>2835570</v>
      </c>
      <c r="F967" s="387">
        <f t="shared" si="93"/>
        <v>1711693</v>
      </c>
      <c r="G967" s="387">
        <f t="shared" si="93"/>
        <v>2647003</v>
      </c>
      <c r="H967" s="387">
        <f t="shared" si="93"/>
        <v>2300631</v>
      </c>
      <c r="I967" s="265">
        <f t="shared" si="92"/>
        <v>2171726.3000000003</v>
      </c>
      <c r="J967" s="176"/>
      <c r="K967" s="26"/>
      <c r="L967" s="26"/>
      <c r="M967" s="26"/>
      <c r="N967" s="26"/>
      <c r="O967" s="26"/>
      <c r="P967" s="26"/>
      <c r="Q967" s="26"/>
      <c r="R967" s="27"/>
    </row>
    <row r="968" spans="2:18" thickBot="1" x14ac:dyDescent="0.3">
      <c r="B968" s="32"/>
      <c r="C968" s="26"/>
      <c r="D968" s="26"/>
      <c r="E968" s="26"/>
      <c r="F968" s="26"/>
      <c r="G968" s="26"/>
      <c r="H968" s="26"/>
      <c r="I968" s="26"/>
      <c r="J968" s="26"/>
      <c r="K968" s="26"/>
      <c r="L968" s="26"/>
      <c r="M968" s="26"/>
      <c r="N968" s="26"/>
      <c r="O968" s="26"/>
      <c r="P968" s="26"/>
      <c r="Q968" s="26"/>
      <c r="R968" s="27"/>
    </row>
    <row r="969" spans="2:18" ht="18.75" x14ac:dyDescent="0.3">
      <c r="B969" s="32"/>
      <c r="C969" s="188" t="s">
        <v>610</v>
      </c>
      <c r="D969" s="614" t="s">
        <v>7</v>
      </c>
      <c r="E969" s="615" t="s">
        <v>103</v>
      </c>
      <c r="F969" s="615" t="s">
        <v>104</v>
      </c>
      <c r="G969" s="615" t="s">
        <v>105</v>
      </c>
      <c r="H969" s="615" t="s">
        <v>106</v>
      </c>
      <c r="I969" s="618" t="s">
        <v>108</v>
      </c>
      <c r="J969" s="613" t="s">
        <v>268</v>
      </c>
      <c r="K969" s="26"/>
      <c r="L969" s="26"/>
      <c r="M969" s="26"/>
      <c r="N969" s="26"/>
      <c r="O969" s="26"/>
      <c r="P969" s="26"/>
      <c r="Q969" s="26"/>
      <c r="R969" s="27"/>
    </row>
    <row r="970" spans="2:18" x14ac:dyDescent="0.25">
      <c r="B970" s="32"/>
      <c r="C970" s="182" t="s">
        <v>458</v>
      </c>
      <c r="D970" s="183">
        <f>D955/D954</f>
        <v>0.7927927927927928</v>
      </c>
      <c r="E970" s="183">
        <f t="shared" ref="E970:H970" si="94">E955/E954</f>
        <v>0.76259920913144685</v>
      </c>
      <c r="F970" s="183">
        <f t="shared" si="94"/>
        <v>0.7422490912618025</v>
      </c>
      <c r="G970" s="183">
        <f t="shared" si="94"/>
        <v>0.6956276535731174</v>
      </c>
      <c r="H970" s="183">
        <f t="shared" si="94"/>
        <v>0.61770228214880218</v>
      </c>
      <c r="I970" s="248">
        <f>IF(AND(ISNUMBER(D970),ISNUMBER(E970),ISNUMBER(F970),ISNUMBER(G970),ISNUMBER(H970)),TREND(D970:H970,D$304:H$304,I$304),"SIN DATOS")</f>
        <v>0.59704843272769925</v>
      </c>
      <c r="J970" s="177"/>
      <c r="K970" s="26"/>
      <c r="L970" s="26"/>
      <c r="M970" s="26"/>
      <c r="N970" s="26"/>
      <c r="O970" s="26"/>
      <c r="P970" s="26"/>
      <c r="Q970" s="26"/>
      <c r="R970" s="27"/>
    </row>
    <row r="971" spans="2:18" ht="16.5" thickBot="1" x14ac:dyDescent="0.3">
      <c r="B971" s="32"/>
      <c r="C971" s="186" t="s">
        <v>118</v>
      </c>
      <c r="D971" s="389">
        <f>D963/D962</f>
        <v>0.62355880273039477</v>
      </c>
      <c r="E971" s="389">
        <f t="shared" ref="E971:H971" si="95">E963/E962</f>
        <v>0.63472186158703137</v>
      </c>
      <c r="F971" s="389">
        <f t="shared" si="95"/>
        <v>0.6288943324939491</v>
      </c>
      <c r="G971" s="389">
        <f t="shared" si="95"/>
        <v>0.65661689817036084</v>
      </c>
      <c r="H971" s="389">
        <f t="shared" si="95"/>
        <v>0.65500048298241187</v>
      </c>
      <c r="I971" s="249">
        <f>IF(AND(ISNUMBER(D971),ISNUMBER(E971),ISNUMBER(F971),ISNUMBER(G971),ISNUMBER(H971)),TREND(D971:H971,D$304:H$304,I$304),"SIN DATOS")</f>
        <v>0.66519199471903878</v>
      </c>
      <c r="J971" s="176"/>
      <c r="K971" s="26"/>
      <c r="L971" s="26"/>
      <c r="M971" s="26"/>
      <c r="N971" s="26"/>
      <c r="O971" s="26"/>
      <c r="P971" s="26"/>
      <c r="Q971" s="26"/>
      <c r="R971" s="27"/>
    </row>
    <row r="972" spans="2:18" thickBot="1" x14ac:dyDescent="0.3">
      <c r="B972" s="32"/>
      <c r="C972" s="178" t="s">
        <v>457</v>
      </c>
      <c r="D972" s="179" t="str">
        <f t="shared" ref="D972" si="96">IF(D970&gt;=D971,IF(D970=D971,"═","▲"),"▼")</f>
        <v>▲</v>
      </c>
      <c r="E972" s="180" t="str">
        <f t="shared" ref="E972" si="97">IF(E970&gt;=E971,IF(E970=E971,"═","▲"),"▼")</f>
        <v>▲</v>
      </c>
      <c r="F972" s="180" t="str">
        <f t="shared" ref="F972" si="98">IF(F970&gt;=F971,IF(F970=F971,"═","▲"),"▼")</f>
        <v>▲</v>
      </c>
      <c r="G972" s="180" t="str">
        <f t="shared" ref="G972" si="99">IF(G970&gt;=G971,IF(G970=G971,"═","▲"),"▼")</f>
        <v>▲</v>
      </c>
      <c r="H972" s="180" t="str">
        <f t="shared" ref="H972" si="100">IF(H970&gt;=H971,IF(H970=H971,"═","▲"),"▼")</f>
        <v>▼</v>
      </c>
      <c r="I972" s="181" t="str">
        <f t="shared" ref="I972" si="101">IF(I970&gt;=I971,IF(I970=I971,"═","▲"),"▼")</f>
        <v>▼</v>
      </c>
      <c r="J972" s="26"/>
      <c r="K972" s="26"/>
      <c r="L972" s="26"/>
      <c r="M972" s="26"/>
      <c r="N972" s="26"/>
      <c r="O972" s="26"/>
      <c r="P972" s="26"/>
      <c r="Q972" s="26"/>
      <c r="R972" s="27"/>
    </row>
    <row r="973" spans="2:18" thickBot="1" x14ac:dyDescent="0.3">
      <c r="B973" s="32"/>
      <c r="C973" s="26"/>
      <c r="D973" s="26"/>
      <c r="E973" s="26"/>
      <c r="F973" s="26"/>
      <c r="G973" s="26"/>
      <c r="H973" s="26"/>
      <c r="I973" s="26"/>
      <c r="J973" s="26"/>
      <c r="K973" s="26"/>
      <c r="L973" s="26"/>
      <c r="M973" s="26"/>
      <c r="N973" s="26"/>
      <c r="O973" s="26"/>
      <c r="P973" s="26"/>
      <c r="Q973" s="26"/>
      <c r="R973" s="27"/>
    </row>
    <row r="974" spans="2:18" ht="18.75" x14ac:dyDescent="0.3">
      <c r="B974" s="32"/>
      <c r="C974" s="188" t="s">
        <v>611</v>
      </c>
      <c r="D974" s="614" t="s">
        <v>7</v>
      </c>
      <c r="E974" s="615" t="s">
        <v>103</v>
      </c>
      <c r="F974" s="615" t="s">
        <v>104</v>
      </c>
      <c r="G974" s="615" t="s">
        <v>105</v>
      </c>
      <c r="H974" s="615" t="s">
        <v>106</v>
      </c>
      <c r="I974" s="618" t="s">
        <v>108</v>
      </c>
      <c r="J974" s="613" t="s">
        <v>268</v>
      </c>
      <c r="K974" s="26"/>
      <c r="L974" s="26"/>
      <c r="M974" s="26"/>
      <c r="N974" s="26"/>
      <c r="O974" s="26"/>
      <c r="P974" s="26"/>
      <c r="Q974" s="26"/>
      <c r="R974" s="27"/>
    </row>
    <row r="975" spans="2:18" x14ac:dyDescent="0.25">
      <c r="B975" s="32"/>
      <c r="C975" s="182" t="s">
        <v>458</v>
      </c>
      <c r="D975" s="183">
        <f>D956/D954</f>
        <v>3.5912196548586489E-2</v>
      </c>
      <c r="E975" s="183">
        <f t="shared" ref="E975:H975" si="102">E956/E954</f>
        <v>4.1894528058151408E-2</v>
      </c>
      <c r="F975" s="183">
        <f t="shared" si="102"/>
        <v>4.598142358718104E-2</v>
      </c>
      <c r="G975" s="183">
        <f t="shared" si="102"/>
        <v>5.5057254999267474E-2</v>
      </c>
      <c r="H975" s="183">
        <f t="shared" si="102"/>
        <v>7.0301815601251552E-2</v>
      </c>
      <c r="I975" s="248">
        <f>IF(AND(ISNUMBER(D975),ISNUMBER(E975),ISNUMBER(F975),ISNUMBER(G975),ISNUMBER(H975)),TREND(D975:H975,D$304:H$304,I$304),"SIN DATOS")</f>
        <v>7.4412033272821448E-2</v>
      </c>
      <c r="J975" s="177"/>
      <c r="K975" s="26"/>
      <c r="L975" s="26"/>
      <c r="M975" s="26"/>
      <c r="N975" s="26"/>
      <c r="O975" s="26"/>
      <c r="P975" s="26"/>
      <c r="Q975" s="26"/>
      <c r="R975" s="27"/>
    </row>
    <row r="976" spans="2:18" ht="16.5" thickBot="1" x14ac:dyDescent="0.3">
      <c r="B976" s="32"/>
      <c r="C976" s="186" t="s">
        <v>118</v>
      </c>
      <c r="D976" s="183">
        <f>D964/D962</f>
        <v>8.7278095683296905E-2</v>
      </c>
      <c r="E976" s="183">
        <f t="shared" ref="E976:H976" si="103">E964/E962</f>
        <v>7.2563229399453727E-2</v>
      </c>
      <c r="F976" s="183">
        <f t="shared" si="103"/>
        <v>0.15926396260078293</v>
      </c>
      <c r="G976" s="183">
        <f t="shared" si="103"/>
        <v>6.4295598528982575E-2</v>
      </c>
      <c r="H976" s="183">
        <f t="shared" si="103"/>
        <v>8.3495393993283346E-2</v>
      </c>
      <c r="I976" s="249">
        <f>IF(AND(ISNUMBER(D976),ISNUMBER(E976),ISNUMBER(F976),ISNUMBER(G976),ISNUMBER(H976)),TREND(D976:H976,D$304:H$304,I$304),"SIN DATOS")</f>
        <v>8.862934576601042E-2</v>
      </c>
      <c r="J976" s="176"/>
      <c r="K976" s="26"/>
      <c r="L976" s="26"/>
      <c r="M976" s="26"/>
      <c r="N976" s="26"/>
      <c r="O976" s="26"/>
      <c r="P976" s="26"/>
      <c r="Q976" s="26"/>
      <c r="R976" s="27"/>
    </row>
    <row r="977" spans="2:18" thickBot="1" x14ac:dyDescent="0.3">
      <c r="B977" s="32"/>
      <c r="C977" s="178" t="s">
        <v>457</v>
      </c>
      <c r="D977" s="179" t="str">
        <f t="shared" ref="D977" si="104">IF(D975&gt;=D976,IF(D975=D976,"═","▲"),"▼")</f>
        <v>▼</v>
      </c>
      <c r="E977" s="180" t="str">
        <f t="shared" ref="E977" si="105">IF(E975&gt;=E976,IF(E975=E976,"═","▲"),"▼")</f>
        <v>▼</v>
      </c>
      <c r="F977" s="180" t="str">
        <f t="shared" ref="F977" si="106">IF(F975&gt;=F976,IF(F975=F976,"═","▲"),"▼")</f>
        <v>▼</v>
      </c>
      <c r="G977" s="180" t="str">
        <f t="shared" ref="G977" si="107">IF(G975&gt;=G976,IF(G975=G976,"═","▲"),"▼")</f>
        <v>▼</v>
      </c>
      <c r="H977" s="180" t="str">
        <f t="shared" ref="H977" si="108">IF(H975&gt;=H976,IF(H975=H976,"═","▲"),"▼")</f>
        <v>▼</v>
      </c>
      <c r="I977" s="181" t="str">
        <f t="shared" ref="I977" si="109">IF(I975&gt;=I976,IF(I975=I976,"═","▲"),"▼")</f>
        <v>▼</v>
      </c>
      <c r="J977" s="26"/>
      <c r="K977" s="26"/>
      <c r="L977" s="26"/>
      <c r="M977" s="26"/>
      <c r="N977" s="26"/>
      <c r="O977" s="26"/>
      <c r="P977" s="26"/>
      <c r="Q977" s="26"/>
      <c r="R977" s="27"/>
    </row>
    <row r="978" spans="2:18" thickBot="1" x14ac:dyDescent="0.3">
      <c r="B978" s="32"/>
      <c r="C978" s="26"/>
      <c r="D978" s="26"/>
      <c r="E978" s="26"/>
      <c r="F978" s="26"/>
      <c r="G978" s="26"/>
      <c r="H978" s="26"/>
      <c r="I978" s="26"/>
      <c r="J978" s="26"/>
      <c r="K978" s="26"/>
      <c r="L978" s="26"/>
      <c r="M978" s="26"/>
      <c r="N978" s="26"/>
      <c r="O978" s="26"/>
      <c r="P978" s="26"/>
      <c r="Q978" s="26"/>
      <c r="R978" s="27"/>
    </row>
    <row r="979" spans="2:18" ht="18.75" x14ac:dyDescent="0.3">
      <c r="B979" s="32"/>
      <c r="C979" s="188" t="s">
        <v>612</v>
      </c>
      <c r="D979" s="614" t="s">
        <v>7</v>
      </c>
      <c r="E979" s="615" t="s">
        <v>103</v>
      </c>
      <c r="F979" s="615" t="s">
        <v>104</v>
      </c>
      <c r="G979" s="615" t="s">
        <v>105</v>
      </c>
      <c r="H979" s="615" t="s">
        <v>106</v>
      </c>
      <c r="I979" s="618" t="s">
        <v>108</v>
      </c>
      <c r="J979" s="613" t="s">
        <v>268</v>
      </c>
      <c r="K979" s="26"/>
      <c r="L979" s="26"/>
      <c r="M979" s="26"/>
      <c r="N979" s="26"/>
      <c r="O979" s="26"/>
      <c r="P979" s="26"/>
      <c r="Q979" s="26"/>
      <c r="R979" s="27"/>
    </row>
    <row r="980" spans="2:18" x14ac:dyDescent="0.25">
      <c r="B980" s="32"/>
      <c r="C980" s="182" t="s">
        <v>458</v>
      </c>
      <c r="D980" s="183">
        <f>D957/D954</f>
        <v>3.6634802694005893E-3</v>
      </c>
      <c r="E980" s="183">
        <f t="shared" ref="E980:H980" si="110">E957/E954</f>
        <v>2.745314229912049E-3</v>
      </c>
      <c r="F980" s="183">
        <f t="shared" si="110"/>
        <v>1.9160290462376078E-3</v>
      </c>
      <c r="G980" s="183">
        <f t="shared" si="110"/>
        <v>1.0882312007463076E-3</v>
      </c>
      <c r="H980" s="183">
        <f t="shared" si="110"/>
        <v>3.385304384416476E-4</v>
      </c>
      <c r="I980" s="185">
        <f>IF(AND(ISNUMBER(D980),ISNUMBER(E980),ISNUMBER(F980),ISNUMBER(G980),ISNUMBER(H980)),TREND(D980:H980,D$304:H$304,I$304),"SIN DATOS")</f>
        <v>-5.4177777037744696E-4</v>
      </c>
      <c r="J980" s="177"/>
      <c r="K980" s="26"/>
      <c r="L980" s="26"/>
      <c r="M980" s="26"/>
      <c r="N980" s="26"/>
      <c r="O980" s="26"/>
      <c r="P980" s="26"/>
      <c r="Q980" s="26"/>
      <c r="R980" s="27"/>
    </row>
    <row r="981" spans="2:18" ht="16.5" thickBot="1" x14ac:dyDescent="0.3">
      <c r="B981" s="32"/>
      <c r="C981" s="186" t="s">
        <v>118</v>
      </c>
      <c r="D981" s="389">
        <f>D965/D962</f>
        <v>2.666443639122516E-2</v>
      </c>
      <c r="E981" s="389">
        <f t="shared" ref="E981:H981" si="111">E965/E962</f>
        <v>3.5688269305806819E-2</v>
      </c>
      <c r="F981" s="389">
        <f t="shared" si="111"/>
        <v>4.5167360052924849E-2</v>
      </c>
      <c r="G981" s="389">
        <f t="shared" si="111"/>
        <v>6.742352899912181E-2</v>
      </c>
      <c r="H981" s="389">
        <f t="shared" si="111"/>
        <v>5.1811823957938784E-2</v>
      </c>
      <c r="I981" s="187">
        <f>IF(AND(ISNUMBER(D981),ISNUMBER(E981),ISNUMBER(F981),ISNUMBER(G981),ISNUMBER(H981)),TREND(D981:H981,D$304:H$304,I$304),"SIN DATOS")</f>
        <v>6.9960094189426156E-2</v>
      </c>
      <c r="J981" s="176"/>
      <c r="K981" s="26"/>
      <c r="L981" s="26"/>
      <c r="M981" s="26"/>
      <c r="N981" s="26"/>
      <c r="O981" s="26"/>
      <c r="P981" s="26"/>
      <c r="Q981" s="26"/>
      <c r="R981" s="27"/>
    </row>
    <row r="982" spans="2:18" thickBot="1" x14ac:dyDescent="0.3">
      <c r="B982" s="32"/>
      <c r="C982" s="178" t="s">
        <v>457</v>
      </c>
      <c r="D982" s="179" t="str">
        <f t="shared" ref="D982" si="112">IF(D980&gt;=D981,IF(D980=D981,"═","▲"),"▼")</f>
        <v>▼</v>
      </c>
      <c r="E982" s="180" t="str">
        <f t="shared" ref="E982" si="113">IF(E980&gt;=E981,IF(E980=E981,"═","▲"),"▼")</f>
        <v>▼</v>
      </c>
      <c r="F982" s="180" t="str">
        <f t="shared" ref="F982" si="114">IF(F980&gt;=F981,IF(F980=F981,"═","▲"),"▼")</f>
        <v>▼</v>
      </c>
      <c r="G982" s="180" t="str">
        <f t="shared" ref="G982" si="115">IF(G980&gt;=G981,IF(G980=G981,"═","▲"),"▼")</f>
        <v>▼</v>
      </c>
      <c r="H982" s="180" t="str">
        <f t="shared" ref="H982" si="116">IF(H980&gt;=H981,IF(H980=H981,"═","▲"),"▼")</f>
        <v>▼</v>
      </c>
      <c r="I982" s="181" t="str">
        <f t="shared" ref="I982" si="117">IF(I980&gt;=I981,IF(I980=I981,"═","▲"),"▼")</f>
        <v>▼</v>
      </c>
      <c r="J982" s="26"/>
      <c r="K982" s="26"/>
      <c r="L982" s="26"/>
      <c r="M982" s="26"/>
      <c r="N982" s="26"/>
      <c r="O982" s="26"/>
      <c r="P982" s="26"/>
      <c r="Q982" s="26"/>
      <c r="R982" s="27"/>
    </row>
    <row r="983" spans="2:18" thickBot="1" x14ac:dyDescent="0.3">
      <c r="B983" s="32"/>
      <c r="C983" s="26"/>
      <c r="D983" s="26"/>
      <c r="E983" s="26"/>
      <c r="F983" s="26"/>
      <c r="G983" s="26"/>
      <c r="H983" s="26"/>
      <c r="I983" s="26"/>
      <c r="J983" s="26"/>
      <c r="K983" s="26"/>
      <c r="L983" s="26"/>
      <c r="M983" s="26"/>
      <c r="N983" s="26"/>
      <c r="O983" s="26"/>
      <c r="P983" s="26"/>
      <c r="Q983" s="26"/>
      <c r="R983" s="27"/>
    </row>
    <row r="984" spans="2:18" ht="18.75" x14ac:dyDescent="0.3">
      <c r="B984" s="32"/>
      <c r="C984" s="188" t="s">
        <v>613</v>
      </c>
      <c r="D984" s="614" t="s">
        <v>7</v>
      </c>
      <c r="E984" s="615" t="s">
        <v>103</v>
      </c>
      <c r="F984" s="615" t="s">
        <v>104</v>
      </c>
      <c r="G984" s="615" t="s">
        <v>105</v>
      </c>
      <c r="H984" s="615" t="s">
        <v>106</v>
      </c>
      <c r="I984" s="618" t="s">
        <v>108</v>
      </c>
      <c r="J984" s="613" t="s">
        <v>268</v>
      </c>
      <c r="K984" s="26"/>
      <c r="L984" s="26"/>
      <c r="M984" s="26"/>
      <c r="N984" s="26"/>
      <c r="O984" s="26"/>
      <c r="P984" s="26"/>
      <c r="Q984" s="26"/>
      <c r="R984" s="27"/>
    </row>
    <row r="985" spans="2:18" x14ac:dyDescent="0.25">
      <c r="B985" s="32"/>
      <c r="C985" s="182" t="s">
        <v>458</v>
      </c>
      <c r="D985" s="183">
        <f>D958/D954</f>
        <v>4.788292873144865E-2</v>
      </c>
      <c r="E985" s="183">
        <f t="shared" ref="E985:H985" si="118">E958/E954</f>
        <v>5.5859370744201879E-2</v>
      </c>
      <c r="F985" s="183">
        <f t="shared" si="118"/>
        <v>6.1308564782908061E-2</v>
      </c>
      <c r="G985" s="183">
        <f t="shared" si="118"/>
        <v>7.3409673332356623E-2</v>
      </c>
      <c r="H985" s="183">
        <f t="shared" si="118"/>
        <v>9.3735754135002056E-2</v>
      </c>
      <c r="I985" s="185">
        <f>IF(AND(ISNUMBER(D985),ISNUMBER(E985),ISNUMBER(F985),ISNUMBER(G985),ISNUMBER(H985)),TREND(D985:H985,D$304:H$304,I$304),"SIN DATOS")</f>
        <v>9.9216044363761913E-2</v>
      </c>
      <c r="J985" s="177"/>
      <c r="K985" s="26"/>
      <c r="L985" s="26"/>
      <c r="M985" s="26"/>
      <c r="N985" s="26"/>
      <c r="O985" s="26"/>
      <c r="P985" s="26"/>
      <c r="Q985" s="26"/>
      <c r="R985" s="27"/>
    </row>
    <row r="986" spans="2:18" ht="16.5" thickBot="1" x14ac:dyDescent="0.3">
      <c r="B986" s="32"/>
      <c r="C986" s="186" t="s">
        <v>118</v>
      </c>
      <c r="D986" s="389">
        <f>D966/D962</f>
        <v>6.6280176858851195E-2</v>
      </c>
      <c r="E986" s="389">
        <f t="shared" ref="E986:H986" si="119">E966/E962</f>
        <v>5.5858181689191586E-2</v>
      </c>
      <c r="F986" s="389">
        <f t="shared" si="119"/>
        <v>5.1218737165316823E-2</v>
      </c>
      <c r="G986" s="389">
        <f t="shared" si="119"/>
        <v>3.6489080865589323E-2</v>
      </c>
      <c r="H986" s="389">
        <f t="shared" si="119"/>
        <v>3.4429789745719662E-2</v>
      </c>
      <c r="I986" s="187">
        <f>IF(AND(ISNUMBER(D986),ISNUMBER(E986),ISNUMBER(F986),ISNUMBER(G986),ISNUMBER(H986)),TREND(D986:H986,D$304:H$304,I$304),"SIN DATOS")</f>
        <v>2.3934230749974132E-2</v>
      </c>
      <c r="J986" s="176"/>
      <c r="K986" s="26"/>
      <c r="L986" s="26"/>
      <c r="M986" s="26"/>
      <c r="N986" s="26"/>
      <c r="O986" s="26"/>
      <c r="P986" s="26"/>
      <c r="Q986" s="26"/>
      <c r="R986" s="27"/>
    </row>
    <row r="987" spans="2:18" thickBot="1" x14ac:dyDescent="0.3">
      <c r="B987" s="32"/>
      <c r="C987" s="178" t="s">
        <v>457</v>
      </c>
      <c r="D987" s="179" t="str">
        <f t="shared" ref="D987" si="120">IF(D985&gt;=D986,IF(D985=D986,"═","▲"),"▼")</f>
        <v>▼</v>
      </c>
      <c r="E987" s="180" t="str">
        <f t="shared" ref="E987" si="121">IF(E985&gt;=E986,IF(E985=E986,"═","▲"),"▼")</f>
        <v>▲</v>
      </c>
      <c r="F987" s="180" t="str">
        <f t="shared" ref="F987" si="122">IF(F985&gt;=F986,IF(F985=F986,"═","▲"),"▼")</f>
        <v>▲</v>
      </c>
      <c r="G987" s="180" t="str">
        <f t="shared" ref="G987" si="123">IF(G985&gt;=G986,IF(G985=G986,"═","▲"),"▼")</f>
        <v>▲</v>
      </c>
      <c r="H987" s="180" t="str">
        <f t="shared" ref="H987" si="124">IF(H985&gt;=H986,IF(H985=H986,"═","▲"),"▼")</f>
        <v>▲</v>
      </c>
      <c r="I987" s="181" t="str">
        <f t="shared" ref="I987" si="125">IF(I985&gt;=I986,IF(I985=I986,"═","▲"),"▼")</f>
        <v>▲</v>
      </c>
      <c r="J987" s="26"/>
      <c r="K987" s="26"/>
      <c r="L987" s="26"/>
      <c r="M987" s="26"/>
      <c r="N987" s="26"/>
      <c r="O987" s="26"/>
      <c r="P987" s="26"/>
      <c r="Q987" s="26"/>
      <c r="R987" s="27"/>
    </row>
    <row r="988" spans="2:18" thickBot="1" x14ac:dyDescent="0.3">
      <c r="B988" s="32"/>
      <c r="C988" s="26"/>
      <c r="D988" s="26"/>
      <c r="E988" s="26"/>
      <c r="F988" s="26"/>
      <c r="G988" s="26"/>
      <c r="H988" s="26"/>
      <c r="I988" s="26"/>
      <c r="J988" s="26"/>
      <c r="K988" s="26"/>
      <c r="L988" s="26"/>
      <c r="M988" s="26"/>
      <c r="N988" s="26"/>
      <c r="O988" s="26"/>
      <c r="P988" s="26"/>
      <c r="Q988" s="26"/>
      <c r="R988" s="27"/>
    </row>
    <row r="989" spans="2:18" ht="18.75" x14ac:dyDescent="0.3">
      <c r="B989" s="32"/>
      <c r="C989" s="188" t="s">
        <v>614</v>
      </c>
      <c r="D989" s="614" t="s">
        <v>7</v>
      </c>
      <c r="E989" s="615" t="s">
        <v>103</v>
      </c>
      <c r="F989" s="615" t="s">
        <v>104</v>
      </c>
      <c r="G989" s="615" t="s">
        <v>105</v>
      </c>
      <c r="H989" s="615" t="s">
        <v>106</v>
      </c>
      <c r="I989" s="618" t="s">
        <v>108</v>
      </c>
      <c r="J989" s="613" t="s">
        <v>268</v>
      </c>
      <c r="K989" s="26"/>
      <c r="L989" s="26"/>
      <c r="M989" s="26"/>
      <c r="N989" s="26"/>
      <c r="O989" s="26"/>
      <c r="P989" s="26"/>
      <c r="Q989" s="26"/>
      <c r="R989" s="27"/>
    </row>
    <row r="990" spans="2:18" x14ac:dyDescent="0.25">
      <c r="B990" s="32"/>
      <c r="C990" s="182" t="s">
        <v>458</v>
      </c>
      <c r="D990" s="183">
        <f>D959/D954</f>
        <v>0.11974860165777149</v>
      </c>
      <c r="E990" s="183">
        <f t="shared" ref="E990:H990" si="126">E959/E954</f>
        <v>0.13690157783628781</v>
      </c>
      <c r="F990" s="183">
        <f t="shared" si="126"/>
        <v>0.14854489132187074</v>
      </c>
      <c r="G990" s="183">
        <f t="shared" si="126"/>
        <v>0.17481718689451223</v>
      </c>
      <c r="H990" s="183">
        <f t="shared" si="126"/>
        <v>0.21792161767650259</v>
      </c>
      <c r="I990" s="185">
        <f>IF(AND(ISNUMBER(D990),ISNUMBER(E990),ISNUMBER(F990),ISNUMBER(G990),ISNUMBER(H990)),TREND(D990:H990,D$304:H$304,I$304),"SIN DATOS")</f>
        <v>0.22986526740609498</v>
      </c>
      <c r="J990" s="177"/>
      <c r="K990" s="26"/>
      <c r="L990" s="26"/>
      <c r="M990" s="26"/>
      <c r="N990" s="26"/>
      <c r="O990" s="26"/>
      <c r="P990" s="26"/>
      <c r="Q990" s="26"/>
      <c r="R990" s="27"/>
    </row>
    <row r="991" spans="2:18" ht="16.5" thickBot="1" x14ac:dyDescent="0.3">
      <c r="B991" s="32"/>
      <c r="C991" s="186" t="s">
        <v>118</v>
      </c>
      <c r="D991" s="389">
        <f>D967/D962</f>
        <v>0.19621848833623196</v>
      </c>
      <c r="E991" s="389">
        <f t="shared" ref="E991:H991" si="127">E967/E962</f>
        <v>0.20116845801851654</v>
      </c>
      <c r="F991" s="389">
        <f t="shared" si="127"/>
        <v>0.11545560768702627</v>
      </c>
      <c r="G991" s="389">
        <f t="shared" si="127"/>
        <v>0.17517489343594542</v>
      </c>
      <c r="H991" s="389">
        <f t="shared" si="127"/>
        <v>0.17526250932064638</v>
      </c>
      <c r="I991" s="187">
        <f>IF(AND(ISNUMBER(D991),ISNUMBER(E991),ISNUMBER(F991),ISNUMBER(G991),ISNUMBER(H991)),TREND(D991:H991,D$304:H$304,I$304),"SIN DATOS")</f>
        <v>0.15228433457555063</v>
      </c>
      <c r="J991" s="176"/>
      <c r="K991" s="26"/>
      <c r="L991" s="26"/>
      <c r="M991" s="26"/>
      <c r="N991" s="26"/>
      <c r="O991" s="26"/>
      <c r="P991" s="26"/>
      <c r="Q991" s="26"/>
      <c r="R991" s="27"/>
    </row>
    <row r="992" spans="2:18" thickBot="1" x14ac:dyDescent="0.3">
      <c r="B992" s="32"/>
      <c r="C992" s="178" t="s">
        <v>457</v>
      </c>
      <c r="D992" s="179" t="str">
        <f t="shared" ref="D992" si="128">IF(D990&gt;=D991,IF(D990=D991,"═","▲"),"▼")</f>
        <v>▼</v>
      </c>
      <c r="E992" s="180" t="str">
        <f t="shared" ref="E992" si="129">IF(E990&gt;=E991,IF(E990=E991,"═","▲"),"▼")</f>
        <v>▼</v>
      </c>
      <c r="F992" s="180" t="str">
        <f t="shared" ref="F992" si="130">IF(F990&gt;=F991,IF(F990=F991,"═","▲"),"▼")</f>
        <v>▲</v>
      </c>
      <c r="G992" s="180" t="str">
        <f t="shared" ref="G992" si="131">IF(G990&gt;=G991,IF(G990=G991,"═","▲"),"▼")</f>
        <v>▼</v>
      </c>
      <c r="H992" s="180" t="str">
        <f t="shared" ref="H992" si="132">IF(H990&gt;=H991,IF(H990=H991,"═","▲"),"▼")</f>
        <v>▲</v>
      </c>
      <c r="I992" s="181" t="str">
        <f t="shared" ref="I992" si="133">IF(I990&gt;=I991,IF(I990=I991,"═","▲"),"▼")</f>
        <v>▲</v>
      </c>
      <c r="J992" s="26"/>
      <c r="K992" s="26"/>
      <c r="L992" s="26"/>
      <c r="M992" s="26"/>
      <c r="N992" s="26"/>
      <c r="O992" s="26"/>
      <c r="P992" s="26"/>
      <c r="Q992" s="26"/>
      <c r="R992" s="27"/>
    </row>
    <row r="993" spans="2:22" ht="15" x14ac:dyDescent="0.25">
      <c r="B993" s="32"/>
      <c r="C993" s="26"/>
      <c r="D993" s="26"/>
      <c r="E993" s="26"/>
      <c r="F993" s="26"/>
      <c r="G993" s="26"/>
      <c r="H993" s="26"/>
      <c r="I993" s="26"/>
      <c r="J993" s="26"/>
      <c r="K993" s="26"/>
      <c r="L993" s="26"/>
      <c r="M993" s="26"/>
      <c r="N993" s="26"/>
      <c r="O993" s="26"/>
      <c r="P993" s="26"/>
      <c r="Q993" s="26"/>
      <c r="R993" s="27"/>
    </row>
    <row r="994" spans="2:22" ht="15" x14ac:dyDescent="0.25">
      <c r="B994" s="32"/>
      <c r="C994" s="26"/>
      <c r="D994" s="26"/>
      <c r="E994" s="26"/>
      <c r="F994" s="26"/>
      <c r="G994" s="26"/>
      <c r="H994" s="26"/>
      <c r="I994" s="26"/>
      <c r="J994" s="26"/>
      <c r="K994" s="26"/>
      <c r="L994" s="26"/>
      <c r="M994" s="26"/>
      <c r="N994" s="26"/>
      <c r="O994" s="26"/>
      <c r="P994" s="26"/>
      <c r="Q994" s="26"/>
      <c r="R994" s="27"/>
    </row>
    <row r="995" spans="2:22" ht="15" x14ac:dyDescent="0.25">
      <c r="B995" s="32"/>
      <c r="C995" s="26"/>
      <c r="D995" s="26"/>
      <c r="E995" s="26"/>
      <c r="F995" s="26"/>
      <c r="G995" s="26"/>
      <c r="H995" s="26"/>
      <c r="I995" s="26"/>
      <c r="J995" s="26"/>
      <c r="K995" s="26"/>
      <c r="L995" s="26"/>
      <c r="M995" s="26"/>
      <c r="N995" s="26"/>
      <c r="O995" s="26"/>
      <c r="P995" s="26"/>
      <c r="Q995" s="26"/>
      <c r="R995" s="27"/>
    </row>
    <row r="996" spans="2:22" ht="15" x14ac:dyDescent="0.25">
      <c r="B996" s="32"/>
      <c r="C996" s="26"/>
      <c r="D996" s="26"/>
      <c r="E996" s="26"/>
      <c r="F996" s="26"/>
      <c r="G996" s="26"/>
      <c r="H996" s="26"/>
      <c r="I996" s="26"/>
      <c r="J996" s="26"/>
      <c r="K996" s="26"/>
      <c r="L996" s="26"/>
      <c r="M996" s="26"/>
      <c r="N996" s="26"/>
      <c r="O996" s="26"/>
      <c r="P996" s="26"/>
      <c r="Q996" s="26"/>
      <c r="R996" s="27"/>
    </row>
    <row r="997" spans="2:22" ht="15" x14ac:dyDescent="0.25">
      <c r="B997" s="32"/>
      <c r="C997" s="26"/>
      <c r="D997" s="26"/>
      <c r="E997" s="26"/>
      <c r="F997" s="26"/>
      <c r="G997" s="26"/>
      <c r="H997" s="26"/>
      <c r="I997" s="26"/>
      <c r="J997" s="26"/>
      <c r="K997" s="26"/>
      <c r="L997" s="26"/>
      <c r="M997" s="26"/>
      <c r="N997" s="26"/>
      <c r="O997" s="26"/>
      <c r="P997" s="26"/>
      <c r="Q997" s="26"/>
      <c r="R997" s="27"/>
    </row>
    <row r="998" spans="2:22" ht="15" x14ac:dyDescent="0.25">
      <c r="B998" s="32"/>
      <c r="C998" s="26"/>
      <c r="D998" s="26"/>
      <c r="E998" s="26"/>
      <c r="F998" s="26"/>
      <c r="G998" s="26"/>
      <c r="H998" s="26"/>
      <c r="I998" s="26"/>
      <c r="J998" s="26"/>
      <c r="K998" s="26"/>
      <c r="L998" s="26"/>
      <c r="M998" s="26"/>
      <c r="N998" s="26"/>
      <c r="O998" s="26"/>
      <c r="P998" s="26"/>
      <c r="Q998" s="26"/>
      <c r="R998" s="27"/>
    </row>
    <row r="999" spans="2:22" ht="15" x14ac:dyDescent="0.25">
      <c r="B999" s="32"/>
      <c r="C999" s="26"/>
      <c r="D999" s="26"/>
      <c r="E999" s="26"/>
      <c r="F999" s="26"/>
      <c r="G999" s="26"/>
      <c r="H999" s="26"/>
      <c r="I999" s="26"/>
      <c r="J999" s="26"/>
      <c r="K999" s="26"/>
      <c r="L999" s="26"/>
      <c r="M999" s="26"/>
      <c r="N999" s="26"/>
      <c r="O999" s="26"/>
      <c r="P999" s="26"/>
      <c r="Q999" s="26"/>
      <c r="R999" s="27"/>
    </row>
    <row r="1000" spans="2:22" ht="15" x14ac:dyDescent="0.25">
      <c r="B1000" s="32"/>
      <c r="C1000" s="26"/>
      <c r="D1000" s="26"/>
      <c r="E1000" s="26"/>
      <c r="F1000" s="26"/>
      <c r="G1000" s="26"/>
      <c r="H1000" s="26"/>
      <c r="I1000" s="26"/>
      <c r="J1000" s="26"/>
      <c r="K1000" s="26"/>
      <c r="L1000" s="26"/>
      <c r="M1000" s="26"/>
      <c r="N1000" s="26"/>
      <c r="O1000" s="26"/>
      <c r="P1000" s="26"/>
      <c r="Q1000" s="26"/>
      <c r="R1000" s="27"/>
    </row>
    <row r="1001" spans="2:22" ht="15" x14ac:dyDescent="0.25">
      <c r="B1001" s="32"/>
      <c r="C1001" s="26"/>
      <c r="D1001" s="26"/>
      <c r="E1001" s="26"/>
      <c r="F1001" s="26"/>
      <c r="G1001" s="26"/>
      <c r="H1001" s="26"/>
      <c r="I1001" s="26"/>
      <c r="J1001" s="26"/>
      <c r="K1001" s="26"/>
      <c r="L1001" s="26"/>
      <c r="M1001" s="26"/>
      <c r="N1001" s="26"/>
      <c r="O1001" s="26"/>
      <c r="P1001" s="26"/>
      <c r="Q1001" s="26"/>
      <c r="R1001" s="27"/>
    </row>
    <row r="1002" spans="2:22" thickBot="1" x14ac:dyDescent="0.3">
      <c r="B1002" s="32"/>
      <c r="C1002" s="26"/>
      <c r="D1002" s="26"/>
      <c r="E1002" s="26"/>
      <c r="F1002" s="26"/>
      <c r="G1002" s="26"/>
      <c r="H1002" s="26"/>
      <c r="I1002" s="26"/>
      <c r="J1002" s="26"/>
      <c r="K1002" s="26"/>
      <c r="L1002" s="26"/>
      <c r="M1002" s="26"/>
      <c r="N1002" s="26"/>
      <c r="O1002" s="26"/>
      <c r="P1002" s="26"/>
      <c r="Q1002" s="26"/>
      <c r="R1002" s="27"/>
    </row>
    <row r="1003" spans="2:22" ht="19.5" thickBot="1" x14ac:dyDescent="0.35">
      <c r="B1003" s="32"/>
      <c r="C1003" s="302" t="s">
        <v>575</v>
      </c>
      <c r="D1003" s="619" t="s">
        <v>7</v>
      </c>
      <c r="E1003" s="620" t="s">
        <v>103</v>
      </c>
      <c r="F1003" s="620" t="s">
        <v>104</v>
      </c>
      <c r="G1003" s="620" t="s">
        <v>105</v>
      </c>
      <c r="H1003" s="620" t="s">
        <v>106</v>
      </c>
      <c r="I1003" s="620" t="s">
        <v>108</v>
      </c>
      <c r="J1003" s="621" t="s">
        <v>268</v>
      </c>
      <c r="K1003" s="26"/>
      <c r="L1003" s="26"/>
      <c r="M1003" s="26"/>
      <c r="N1003" s="26"/>
      <c r="O1003" s="26"/>
      <c r="P1003" s="26"/>
      <c r="Q1003" s="26"/>
      <c r="R1003" s="27"/>
    </row>
    <row r="1004" spans="2:22" ht="16.5" thickBot="1" x14ac:dyDescent="0.3">
      <c r="B1004" s="32"/>
      <c r="C1004" s="178" t="s">
        <v>201</v>
      </c>
      <c r="D1004" s="505">
        <v>0.5</v>
      </c>
      <c r="E1004" s="502">
        <v>0.4</v>
      </c>
      <c r="F1004" s="502">
        <v>0.43</v>
      </c>
      <c r="G1004" s="502">
        <v>0.45</v>
      </c>
      <c r="H1004" s="502">
        <v>0.48</v>
      </c>
      <c r="I1004" s="503">
        <f>IF(AND(ISNUMBER(D1004),ISNUMBER(E1004),ISNUMBER(F1004),ISNUMBER(G1004),ISNUMBER(H1004)),TREND(D1004:H1004,D$304:H$304,I$304),"SIN DATOS")</f>
        <v>0.45499999999999996</v>
      </c>
      <c r="J1004" s="504"/>
      <c r="K1004" s="26" t="s">
        <v>200</v>
      </c>
      <c r="L1004" s="26"/>
      <c r="M1004" s="26"/>
      <c r="N1004" s="26"/>
      <c r="O1004" s="26"/>
      <c r="P1004" s="26"/>
      <c r="Q1004" s="26"/>
      <c r="R1004" s="27"/>
    </row>
    <row r="1005" spans="2:22" ht="15" x14ac:dyDescent="0.25">
      <c r="B1005" s="32"/>
      <c r="C1005" s="121"/>
      <c r="D1005" s="121"/>
      <c r="E1005" s="121"/>
      <c r="F1005" s="121"/>
      <c r="G1005" s="121"/>
      <c r="H1005" s="121"/>
      <c r="I1005" s="121"/>
      <c r="J1005" s="26"/>
      <c r="K1005" s="26"/>
      <c r="L1005" s="26"/>
      <c r="M1005" s="26"/>
      <c r="N1005" s="26"/>
      <c r="O1005" s="26"/>
      <c r="P1005" s="26"/>
      <c r="Q1005" s="26"/>
      <c r="R1005" s="27"/>
      <c r="T1005" s="7"/>
      <c r="U1005" s="7"/>
      <c r="V1005" s="7"/>
    </row>
    <row r="1006" spans="2:22" ht="15" x14ac:dyDescent="0.25">
      <c r="B1006" s="32"/>
      <c r="C1006" s="121"/>
      <c r="D1006" s="121"/>
      <c r="E1006" s="121"/>
      <c r="F1006" s="121"/>
      <c r="G1006" s="121"/>
      <c r="H1006" s="121"/>
      <c r="I1006" s="121"/>
      <c r="J1006" s="26"/>
      <c r="K1006" s="26"/>
      <c r="L1006" s="26"/>
      <c r="M1006" s="26"/>
      <c r="N1006" s="26"/>
      <c r="O1006" s="26"/>
      <c r="P1006" s="26"/>
      <c r="Q1006" s="26"/>
      <c r="R1006" s="27"/>
      <c r="T1006" s="7"/>
      <c r="U1006" s="7"/>
      <c r="V1006" s="7"/>
    </row>
    <row r="1007" spans="2:22" ht="15" x14ac:dyDescent="0.25">
      <c r="B1007" s="32"/>
      <c r="C1007" s="121"/>
      <c r="D1007" s="121"/>
      <c r="E1007" s="121"/>
      <c r="F1007" s="121"/>
      <c r="G1007" s="121"/>
      <c r="H1007" s="121"/>
      <c r="I1007" s="121"/>
      <c r="J1007" s="26"/>
      <c r="K1007" s="26"/>
      <c r="L1007" s="26"/>
      <c r="M1007" s="26"/>
      <c r="N1007" s="26"/>
      <c r="O1007" s="26"/>
      <c r="P1007" s="26"/>
      <c r="Q1007" s="26"/>
      <c r="R1007" s="27"/>
      <c r="T1007" s="7"/>
      <c r="U1007" s="7"/>
      <c r="V1007" s="7"/>
    </row>
    <row r="1008" spans="2:22" ht="15" x14ac:dyDescent="0.25">
      <c r="B1008" s="32"/>
      <c r="C1008" s="121"/>
      <c r="D1008" s="121"/>
      <c r="E1008" s="121"/>
      <c r="F1008" s="121"/>
      <c r="G1008" s="121"/>
      <c r="H1008" s="121"/>
      <c r="I1008" s="121"/>
      <c r="J1008" s="26"/>
      <c r="K1008" s="26"/>
      <c r="L1008" s="26"/>
      <c r="M1008" s="26"/>
      <c r="N1008" s="26"/>
      <c r="O1008" s="26"/>
      <c r="P1008" s="26"/>
      <c r="Q1008" s="26"/>
      <c r="R1008" s="27"/>
      <c r="T1008" s="7"/>
      <c r="U1008" s="7"/>
      <c r="V1008" s="7"/>
    </row>
    <row r="1009" spans="2:22" ht="15" x14ac:dyDescent="0.25">
      <c r="B1009" s="32"/>
      <c r="C1009" s="121"/>
      <c r="D1009" s="121"/>
      <c r="E1009" s="121"/>
      <c r="F1009" s="121"/>
      <c r="G1009" s="121"/>
      <c r="H1009" s="121"/>
      <c r="I1009" s="121"/>
      <c r="J1009" s="26"/>
      <c r="K1009" s="26"/>
      <c r="L1009" s="26"/>
      <c r="M1009" s="26"/>
      <c r="N1009" s="26"/>
      <c r="O1009" s="26"/>
      <c r="P1009" s="26"/>
      <c r="Q1009" s="26"/>
      <c r="R1009" s="27"/>
      <c r="T1009" s="7"/>
      <c r="U1009" s="7"/>
      <c r="V1009" s="7"/>
    </row>
    <row r="1010" spans="2:22" ht="15" x14ac:dyDescent="0.25">
      <c r="B1010" s="32"/>
      <c r="C1010" s="121"/>
      <c r="D1010" s="121"/>
      <c r="E1010" s="121"/>
      <c r="F1010" s="121"/>
      <c r="G1010" s="121"/>
      <c r="H1010" s="121"/>
      <c r="I1010" s="121"/>
      <c r="J1010" s="26"/>
      <c r="K1010" s="26"/>
      <c r="L1010" s="26"/>
      <c r="M1010" s="26"/>
      <c r="N1010" s="26"/>
      <c r="O1010" s="26"/>
      <c r="P1010" s="26"/>
      <c r="Q1010" s="26"/>
      <c r="R1010" s="27"/>
      <c r="T1010" s="7"/>
      <c r="U1010" s="7"/>
      <c r="V1010" s="7"/>
    </row>
    <row r="1011" spans="2:22" ht="15" x14ac:dyDescent="0.25">
      <c r="B1011" s="32"/>
      <c r="C1011" s="121"/>
      <c r="D1011" s="121"/>
      <c r="E1011" s="121"/>
      <c r="F1011" s="121"/>
      <c r="G1011" s="121"/>
      <c r="H1011" s="121"/>
      <c r="I1011" s="121"/>
      <c r="J1011" s="26"/>
      <c r="K1011" s="26"/>
      <c r="L1011" s="26"/>
      <c r="M1011" s="26"/>
      <c r="N1011" s="26"/>
      <c r="O1011" s="26"/>
      <c r="P1011" s="26"/>
      <c r="Q1011" s="26"/>
      <c r="R1011" s="27"/>
      <c r="T1011" s="7"/>
      <c r="U1011" s="7"/>
      <c r="V1011" s="7"/>
    </row>
    <row r="1012" spans="2:22" ht="15" x14ac:dyDescent="0.25">
      <c r="B1012" s="32"/>
      <c r="C1012" s="121"/>
      <c r="D1012" s="121"/>
      <c r="E1012" s="121"/>
      <c r="F1012" s="121"/>
      <c r="G1012" s="121"/>
      <c r="H1012" s="121"/>
      <c r="I1012" s="121"/>
      <c r="J1012" s="26"/>
      <c r="K1012" s="26"/>
      <c r="L1012" s="26"/>
      <c r="M1012" s="26"/>
      <c r="N1012" s="26"/>
      <c r="O1012" s="26"/>
      <c r="P1012" s="26"/>
      <c r="Q1012" s="26"/>
      <c r="R1012" s="27"/>
      <c r="T1012" s="7"/>
      <c r="U1012" s="7"/>
      <c r="V1012" s="7"/>
    </row>
    <row r="1013" spans="2:22" ht="15" x14ac:dyDescent="0.25">
      <c r="B1013" s="32"/>
      <c r="C1013" s="121"/>
      <c r="D1013" s="121"/>
      <c r="E1013" s="121"/>
      <c r="F1013" s="121"/>
      <c r="G1013" s="121"/>
      <c r="H1013" s="121"/>
      <c r="I1013" s="121"/>
      <c r="J1013" s="26"/>
      <c r="K1013" s="26"/>
      <c r="L1013" s="26"/>
      <c r="M1013" s="26"/>
      <c r="N1013" s="26"/>
      <c r="O1013" s="26"/>
      <c r="P1013" s="26"/>
      <c r="Q1013" s="26"/>
      <c r="R1013" s="27"/>
      <c r="T1013" s="7"/>
      <c r="U1013" s="7"/>
      <c r="V1013" s="7"/>
    </row>
    <row r="1014" spans="2:22" thickBot="1" x14ac:dyDescent="0.3">
      <c r="B1014" s="32"/>
      <c r="C1014" s="121"/>
      <c r="D1014" s="121"/>
      <c r="E1014" s="121"/>
      <c r="F1014" s="121"/>
      <c r="G1014" s="121"/>
      <c r="H1014" s="121"/>
      <c r="I1014" s="121"/>
      <c r="J1014" s="26"/>
      <c r="K1014" s="26"/>
      <c r="L1014" s="26"/>
      <c r="M1014" s="26"/>
      <c r="N1014" s="26"/>
      <c r="O1014" s="26"/>
      <c r="P1014" s="26"/>
      <c r="Q1014" s="26"/>
      <c r="R1014" s="27"/>
      <c r="T1014" s="7"/>
      <c r="U1014" s="7"/>
      <c r="V1014" s="7"/>
    </row>
    <row r="1015" spans="2:22" ht="19.5" thickBot="1" x14ac:dyDescent="0.35">
      <c r="B1015" s="32"/>
      <c r="C1015" s="302" t="s">
        <v>572</v>
      </c>
      <c r="D1015" s="622" t="s">
        <v>565</v>
      </c>
      <c r="E1015" s="620" t="s">
        <v>566</v>
      </c>
      <c r="F1015" s="620" t="s">
        <v>567</v>
      </c>
      <c r="G1015" s="620" t="s">
        <v>569</v>
      </c>
      <c r="H1015" s="620" t="s">
        <v>466</v>
      </c>
      <c r="I1015" s="621" t="s">
        <v>570</v>
      </c>
      <c r="J1015" s="607" t="s">
        <v>568</v>
      </c>
      <c r="K1015" s="250"/>
      <c r="L1015" s="26"/>
      <c r="M1015" s="26"/>
      <c r="N1015" s="26"/>
      <c r="O1015" s="26"/>
      <c r="P1015" s="26"/>
      <c r="Q1015" s="26"/>
      <c r="R1015" s="27"/>
      <c r="T1015" s="7"/>
      <c r="U1015" s="7"/>
      <c r="V1015" s="7"/>
    </row>
    <row r="1016" spans="2:22" ht="15" x14ac:dyDescent="0.25">
      <c r="B1016" s="32"/>
      <c r="C1016" s="121"/>
      <c r="D1016" s="251"/>
      <c r="E1016" s="251"/>
      <c r="F1016" s="251"/>
      <c r="G1016" s="252">
        <v>0</v>
      </c>
      <c r="H1016" s="251"/>
      <c r="I1016" s="252">
        <v>0</v>
      </c>
      <c r="J1016" s="251"/>
      <c r="K1016" s="26"/>
      <c r="L1016" s="26"/>
      <c r="M1016" s="26"/>
      <c r="N1016" s="26"/>
      <c r="O1016" s="26"/>
      <c r="P1016" s="26"/>
      <c r="Q1016" s="26"/>
      <c r="R1016" s="27"/>
      <c r="T1016" s="7"/>
      <c r="U1016" s="7"/>
      <c r="V1016" s="7"/>
    </row>
    <row r="1017" spans="2:22" ht="15" x14ac:dyDescent="0.25">
      <c r="B1017" s="32"/>
      <c r="C1017" s="506" t="s">
        <v>561</v>
      </c>
      <c r="D1017" s="253">
        <v>600</v>
      </c>
      <c r="E1017" s="254">
        <f>D1017/$D$1023</f>
        <v>0.16666666666666666</v>
      </c>
      <c r="F1017" s="254">
        <f>100/COUNTA($C$1017:$C$1022)/100</f>
        <v>0.25</v>
      </c>
      <c r="G1017" s="254">
        <f>G1016+F1017</f>
        <v>0.25</v>
      </c>
      <c r="H1017" s="255">
        <f>D1017</f>
        <v>600</v>
      </c>
      <c r="I1017" s="254">
        <f>H1017/$H$1020</f>
        <v>0.16666666666666666</v>
      </c>
      <c r="J1017" s="256">
        <f>(G1017-G1016)*(I1017+I1016)/2</f>
        <v>2.0833333333333332E-2</v>
      </c>
      <c r="K1017" s="26"/>
      <c r="L1017" s="26"/>
      <c r="M1017" s="26"/>
      <c r="N1017" s="26"/>
      <c r="O1017" s="26"/>
      <c r="P1017" s="26"/>
      <c r="Q1017" s="26"/>
      <c r="R1017" s="27"/>
      <c r="T1017" s="7"/>
      <c r="U1017" s="7"/>
      <c r="V1017" s="7"/>
    </row>
    <row r="1018" spans="2:22" ht="15" x14ac:dyDescent="0.25">
      <c r="B1018" s="32"/>
      <c r="C1018" s="507" t="s">
        <v>562</v>
      </c>
      <c r="D1018" s="253">
        <v>700</v>
      </c>
      <c r="E1018" s="254">
        <f t="shared" ref="E1018:E1020" si="134">D1018/$D$1023</f>
        <v>0.19444444444444445</v>
      </c>
      <c r="F1018" s="254">
        <f t="shared" ref="F1018:F1020" si="135">100/COUNTA($C$1017:$C$1022)/100</f>
        <v>0.25</v>
      </c>
      <c r="G1018" s="254">
        <f t="shared" ref="G1018:G1020" si="136">G1017+F1018</f>
        <v>0.5</v>
      </c>
      <c r="H1018" s="255">
        <f>D1018+H1017</f>
        <v>1300</v>
      </c>
      <c r="I1018" s="254">
        <f t="shared" ref="I1018:I1020" si="137">H1018/$H$1020</f>
        <v>0.3611111111111111</v>
      </c>
      <c r="J1018" s="256">
        <f t="shared" ref="J1018:J1020" si="138">(G1018-G1017)*(I1018+I1017)/2</f>
        <v>6.5972222222222224E-2</v>
      </c>
      <c r="K1018" s="26"/>
      <c r="L1018" s="26"/>
      <c r="M1018" s="26"/>
      <c r="N1018" s="26"/>
      <c r="O1018" s="26"/>
      <c r="P1018" s="26"/>
      <c r="Q1018" s="26"/>
      <c r="R1018" s="27"/>
      <c r="T1018" s="7"/>
      <c r="U1018" s="7"/>
      <c r="V1018" s="7"/>
    </row>
    <row r="1019" spans="2:22" ht="15" x14ac:dyDescent="0.25">
      <c r="B1019" s="32"/>
      <c r="C1019" s="507" t="s">
        <v>563</v>
      </c>
      <c r="D1019" s="253">
        <v>800</v>
      </c>
      <c r="E1019" s="254">
        <f t="shared" si="134"/>
        <v>0.22222222222222221</v>
      </c>
      <c r="F1019" s="254">
        <f t="shared" si="135"/>
        <v>0.25</v>
      </c>
      <c r="G1019" s="254">
        <f t="shared" si="136"/>
        <v>0.75</v>
      </c>
      <c r="H1019" s="255">
        <f t="shared" ref="H1019:H1020" si="139">D1019+H1018</f>
        <v>2100</v>
      </c>
      <c r="I1019" s="254">
        <f t="shared" si="137"/>
        <v>0.58333333333333337</v>
      </c>
      <c r="J1019" s="256">
        <f t="shared" si="138"/>
        <v>0.11805555555555555</v>
      </c>
      <c r="K1019" s="26"/>
      <c r="L1019" s="26"/>
      <c r="M1019" s="26"/>
      <c r="N1019" s="26"/>
      <c r="O1019" s="26"/>
      <c r="P1019" s="26"/>
      <c r="Q1019" s="26"/>
      <c r="R1019" s="27"/>
      <c r="T1019" s="7"/>
      <c r="U1019" s="7"/>
      <c r="V1019" s="7"/>
    </row>
    <row r="1020" spans="2:22" ht="15" x14ac:dyDescent="0.25">
      <c r="B1020" s="32"/>
      <c r="C1020" s="507" t="s">
        <v>564</v>
      </c>
      <c r="D1020" s="253">
        <v>1500</v>
      </c>
      <c r="E1020" s="254">
        <f t="shared" si="134"/>
        <v>0.41666666666666669</v>
      </c>
      <c r="F1020" s="254">
        <f t="shared" si="135"/>
        <v>0.25</v>
      </c>
      <c r="G1020" s="254">
        <f t="shared" si="136"/>
        <v>1</v>
      </c>
      <c r="H1020" s="255">
        <f t="shared" si="139"/>
        <v>3600</v>
      </c>
      <c r="I1020" s="254">
        <f t="shared" si="137"/>
        <v>1</v>
      </c>
      <c r="J1020" s="256">
        <f t="shared" si="138"/>
        <v>0.19791666666666669</v>
      </c>
      <c r="K1020" s="26"/>
      <c r="L1020" s="26"/>
      <c r="M1020" s="26"/>
      <c r="N1020" s="26"/>
      <c r="O1020" s="26"/>
      <c r="P1020" s="26"/>
      <c r="Q1020" s="26"/>
      <c r="R1020" s="27"/>
      <c r="T1020" s="7"/>
      <c r="U1020" s="7"/>
      <c r="V1020" s="7"/>
    </row>
    <row r="1021" spans="2:22" ht="15" x14ac:dyDescent="0.25">
      <c r="B1021" s="32"/>
      <c r="C1021" s="507"/>
      <c r="D1021" s="255"/>
      <c r="E1021" s="255"/>
      <c r="F1021" s="255"/>
      <c r="G1021" s="255"/>
      <c r="H1021" s="255"/>
      <c r="I1021" s="255"/>
      <c r="J1021" s="255"/>
      <c r="K1021" s="26"/>
      <c r="L1021" s="26"/>
      <c r="M1021" s="26"/>
      <c r="N1021" s="26"/>
      <c r="O1021" s="26"/>
      <c r="P1021" s="26"/>
      <c r="Q1021" s="26"/>
      <c r="R1021" s="27"/>
      <c r="T1021" s="7"/>
      <c r="U1021" s="7"/>
      <c r="V1021" s="7"/>
    </row>
    <row r="1022" spans="2:22" ht="15" x14ac:dyDescent="0.25">
      <c r="B1022" s="32"/>
      <c r="C1022" s="507"/>
      <c r="D1022" s="255"/>
      <c r="E1022" s="255"/>
      <c r="F1022" s="255"/>
      <c r="G1022" s="255"/>
      <c r="H1022" s="255"/>
      <c r="I1022" s="255"/>
      <c r="J1022" s="255"/>
      <c r="K1022" s="26"/>
      <c r="L1022" s="26"/>
      <c r="M1022" s="26"/>
      <c r="N1022" s="26"/>
      <c r="O1022" s="26"/>
      <c r="P1022" s="26"/>
      <c r="Q1022" s="26"/>
      <c r="R1022" s="27"/>
      <c r="T1022" s="7"/>
      <c r="U1022" s="7"/>
      <c r="V1022" s="7"/>
    </row>
    <row r="1023" spans="2:22" ht="15" x14ac:dyDescent="0.25">
      <c r="B1023" s="32"/>
      <c r="C1023" s="507" t="s">
        <v>525</v>
      </c>
      <c r="D1023" s="255">
        <f>SUM(D1017:D1020)</f>
        <v>3600</v>
      </c>
      <c r="E1023" s="254">
        <f>SUM(E1017:E1020)</f>
        <v>1</v>
      </c>
      <c r="F1023" s="255"/>
      <c r="G1023" s="255"/>
      <c r="H1023" s="255"/>
      <c r="I1023" s="255"/>
      <c r="J1023" s="256">
        <f>SUM(J1017:J1020)</f>
        <v>0.40277777777777779</v>
      </c>
      <c r="K1023" s="26"/>
      <c r="L1023" s="26"/>
      <c r="M1023" s="26"/>
      <c r="N1023" s="26"/>
      <c r="O1023" s="26"/>
      <c r="P1023" s="26"/>
      <c r="Q1023" s="26"/>
      <c r="R1023" s="27"/>
      <c r="T1023" s="7"/>
      <c r="U1023" s="7"/>
      <c r="V1023" s="7"/>
    </row>
    <row r="1024" spans="2:22" ht="15" x14ac:dyDescent="0.25">
      <c r="B1024" s="32"/>
      <c r="C1024" s="508" t="s">
        <v>571</v>
      </c>
      <c r="D1024" s="257">
        <f>2*(0.5-J1023)</f>
        <v>0.19444444444444442</v>
      </c>
      <c r="E1024" s="255"/>
      <c r="F1024" s="255"/>
      <c r="G1024" s="255"/>
      <c r="H1024" s="255"/>
      <c r="I1024" s="255"/>
      <c r="J1024" s="255"/>
      <c r="K1024" s="26"/>
      <c r="L1024" s="26"/>
      <c r="M1024" s="26"/>
      <c r="N1024" s="26"/>
      <c r="O1024" s="26"/>
      <c r="P1024" s="26"/>
      <c r="Q1024" s="26"/>
      <c r="R1024" s="27"/>
      <c r="T1024" s="7"/>
      <c r="U1024" s="7"/>
      <c r="V1024" s="7"/>
    </row>
    <row r="1025" spans="2:48" ht="15" x14ac:dyDescent="0.25">
      <c r="B1025" s="32"/>
      <c r="C1025" s="121"/>
      <c r="D1025" s="121"/>
      <c r="E1025" s="121"/>
      <c r="F1025" s="121"/>
      <c r="G1025" s="121"/>
      <c r="H1025" s="121"/>
      <c r="I1025" s="121"/>
      <c r="J1025" s="26"/>
      <c r="K1025" s="26"/>
      <c r="L1025" s="26"/>
      <c r="M1025" s="26"/>
      <c r="N1025" s="26"/>
      <c r="O1025" s="26"/>
      <c r="P1025" s="26"/>
      <c r="Q1025" s="26"/>
      <c r="R1025" s="27"/>
      <c r="T1025" s="7"/>
      <c r="U1025" s="7"/>
      <c r="V1025" s="7"/>
    </row>
    <row r="1026" spans="2:48" ht="15" x14ac:dyDescent="0.25">
      <c r="B1026" s="32"/>
      <c r="C1026" s="258"/>
      <c r="D1026" s="258"/>
      <c r="E1026" s="121"/>
      <c r="F1026" s="121"/>
      <c r="G1026" s="121"/>
      <c r="H1026" s="121"/>
      <c r="I1026" s="121"/>
      <c r="J1026" s="26"/>
      <c r="K1026" s="26"/>
      <c r="L1026" s="26"/>
      <c r="M1026" s="26"/>
      <c r="N1026" s="26"/>
      <c r="O1026" s="26"/>
      <c r="P1026" s="26"/>
      <c r="Q1026" s="26"/>
      <c r="R1026" s="27"/>
      <c r="T1026" s="7"/>
      <c r="U1026" s="7"/>
      <c r="V1026" s="7"/>
    </row>
    <row r="1027" spans="2:48" ht="15" x14ac:dyDescent="0.25">
      <c r="B1027" s="32"/>
      <c r="C1027" s="121"/>
      <c r="D1027" s="121"/>
      <c r="E1027" s="121"/>
      <c r="F1027" s="121"/>
      <c r="G1027" s="121"/>
      <c r="H1027" s="121"/>
      <c r="I1027" s="121"/>
      <c r="J1027" s="26"/>
      <c r="K1027" s="26"/>
      <c r="L1027" s="26"/>
      <c r="M1027" s="26"/>
      <c r="N1027" s="26"/>
      <c r="O1027" s="26"/>
      <c r="P1027" s="26"/>
      <c r="Q1027" s="26"/>
      <c r="R1027" s="27"/>
      <c r="T1027" s="7"/>
      <c r="U1027" s="7"/>
      <c r="V1027" s="7"/>
    </row>
    <row r="1028" spans="2:48" ht="15" x14ac:dyDescent="0.25">
      <c r="B1028" s="32"/>
      <c r="C1028" s="121"/>
      <c r="D1028" s="121"/>
      <c r="E1028" s="121"/>
      <c r="F1028" s="121"/>
      <c r="G1028" s="121"/>
      <c r="H1028" s="121"/>
      <c r="I1028" s="121"/>
      <c r="J1028" s="26"/>
      <c r="K1028" s="26"/>
      <c r="L1028" s="26"/>
      <c r="M1028" s="26"/>
      <c r="N1028" s="26"/>
      <c r="O1028" s="26"/>
      <c r="P1028" s="26"/>
      <c r="Q1028" s="26"/>
      <c r="R1028" s="27"/>
      <c r="T1028" s="7"/>
      <c r="U1028" s="7"/>
      <c r="V1028" s="7"/>
    </row>
    <row r="1029" spans="2:48" ht="15" x14ac:dyDescent="0.25">
      <c r="B1029" s="32"/>
      <c r="C1029" s="121"/>
      <c r="D1029" s="121"/>
      <c r="E1029" s="121"/>
      <c r="F1029" s="121"/>
      <c r="G1029" s="121"/>
      <c r="H1029" s="121"/>
      <c r="I1029" s="121"/>
      <c r="J1029" s="26"/>
      <c r="K1029" s="26"/>
      <c r="L1029" s="26"/>
      <c r="M1029" s="26"/>
      <c r="N1029" s="26"/>
      <c r="O1029" s="26"/>
      <c r="P1029" s="26"/>
      <c r="Q1029" s="26"/>
      <c r="R1029" s="27"/>
      <c r="T1029" s="7"/>
      <c r="U1029" s="7"/>
      <c r="V1029" s="7"/>
    </row>
    <row r="1030" spans="2:48" ht="15" x14ac:dyDescent="0.25">
      <c r="B1030" s="32"/>
      <c r="C1030" s="121"/>
      <c r="D1030" s="121"/>
      <c r="E1030" s="121"/>
      <c r="F1030" s="121"/>
      <c r="G1030" s="121"/>
      <c r="H1030" s="121"/>
      <c r="I1030" s="121"/>
      <c r="J1030" s="26"/>
      <c r="K1030" s="26"/>
      <c r="L1030" s="26"/>
      <c r="M1030" s="26"/>
      <c r="N1030" s="26"/>
      <c r="O1030" s="26"/>
      <c r="P1030" s="26"/>
      <c r="Q1030" s="26"/>
      <c r="R1030" s="27"/>
      <c r="T1030" s="7"/>
      <c r="U1030" s="7"/>
      <c r="V1030" s="7"/>
    </row>
    <row r="1031" spans="2:48" ht="15" x14ac:dyDescent="0.25">
      <c r="B1031" s="32"/>
      <c r="C1031" s="121"/>
      <c r="D1031" s="121"/>
      <c r="E1031" s="121"/>
      <c r="F1031" s="121"/>
      <c r="G1031" s="121"/>
      <c r="H1031" s="121"/>
      <c r="I1031" s="121"/>
      <c r="J1031" s="26"/>
      <c r="K1031" s="26"/>
      <c r="L1031" s="26"/>
      <c r="M1031" s="26"/>
      <c r="N1031" s="26"/>
      <c r="O1031" s="26"/>
      <c r="P1031" s="26"/>
      <c r="Q1031" s="26"/>
      <c r="R1031" s="27"/>
      <c r="T1031" s="7"/>
      <c r="U1031" s="7"/>
      <c r="V1031" s="7"/>
    </row>
    <row r="1032" spans="2:48" ht="15" x14ac:dyDescent="0.25">
      <c r="B1032" s="32"/>
      <c r="C1032" s="121"/>
      <c r="D1032" s="121"/>
      <c r="E1032" s="121"/>
      <c r="F1032" s="121"/>
      <c r="G1032" s="121"/>
      <c r="H1032" s="121"/>
      <c r="I1032" s="121"/>
      <c r="J1032" s="26"/>
      <c r="K1032" s="26"/>
      <c r="L1032" s="26"/>
      <c r="M1032" s="26"/>
      <c r="N1032" s="26"/>
      <c r="O1032" s="26"/>
      <c r="P1032" s="26"/>
      <c r="Q1032" s="26"/>
      <c r="R1032" s="27"/>
      <c r="T1032" s="7"/>
      <c r="U1032" s="7"/>
      <c r="V1032" s="7"/>
    </row>
    <row r="1033" spans="2:48" ht="15" x14ac:dyDescent="0.25">
      <c r="B1033" s="32"/>
      <c r="C1033" s="121"/>
      <c r="D1033" s="121"/>
      <c r="E1033" s="121"/>
      <c r="F1033" s="121"/>
      <c r="G1033" s="121"/>
      <c r="H1033" s="121"/>
      <c r="I1033" s="121"/>
      <c r="J1033" s="26"/>
      <c r="K1033" s="26"/>
      <c r="L1033" s="26"/>
      <c r="M1033" s="26"/>
      <c r="N1033" s="26"/>
      <c r="O1033" s="26"/>
      <c r="P1033" s="26"/>
      <c r="Q1033" s="26"/>
      <c r="R1033" s="27"/>
      <c r="T1033" s="7"/>
      <c r="U1033" s="7"/>
      <c r="V1033" s="7"/>
    </row>
    <row r="1034" spans="2:48" ht="15" x14ac:dyDescent="0.25">
      <c r="B1034" s="32"/>
      <c r="C1034" s="121"/>
      <c r="D1034" s="121"/>
      <c r="E1034" s="121"/>
      <c r="F1034" s="121"/>
      <c r="G1034" s="121"/>
      <c r="H1034" s="121"/>
      <c r="I1034" s="121"/>
      <c r="J1034" s="26"/>
      <c r="K1034" s="26"/>
      <c r="L1034" s="26"/>
      <c r="M1034" s="26"/>
      <c r="N1034" s="26"/>
      <c r="O1034" s="26"/>
      <c r="P1034" s="26"/>
      <c r="Q1034" s="26"/>
      <c r="R1034" s="27"/>
      <c r="T1034" s="7"/>
      <c r="U1034" s="7"/>
      <c r="V1034" s="7"/>
    </row>
    <row r="1035" spans="2:48" s="7" customFormat="1" ht="15" x14ac:dyDescent="0.25">
      <c r="B1035" s="32"/>
      <c r="C1035" s="34"/>
      <c r="D1035" s="26"/>
      <c r="E1035" s="26"/>
      <c r="F1035" s="26"/>
      <c r="G1035" s="26"/>
      <c r="H1035" s="26"/>
      <c r="I1035" s="26"/>
      <c r="J1035" s="26"/>
      <c r="K1035" s="26"/>
      <c r="L1035" s="26"/>
      <c r="M1035" s="26"/>
      <c r="N1035" s="26"/>
      <c r="O1035" s="26"/>
      <c r="P1035" s="26"/>
      <c r="Q1035" s="26"/>
      <c r="R1035" s="27"/>
    </row>
    <row r="1036" spans="2:48" s="65" customFormat="1" ht="16.5" thickBot="1" x14ac:dyDescent="0.3">
      <c r="B1036" s="69"/>
      <c r="C1036" s="123"/>
      <c r="D1036" s="72"/>
      <c r="E1036" s="72"/>
      <c r="F1036" s="72"/>
      <c r="G1036" s="142"/>
      <c r="H1036" s="72"/>
      <c r="I1036" s="72"/>
      <c r="J1036" s="72"/>
      <c r="K1036" s="72"/>
      <c r="L1036" s="72"/>
      <c r="M1036" s="72"/>
      <c r="N1036" s="72"/>
      <c r="O1036" s="72"/>
      <c r="P1036" s="72"/>
      <c r="Q1036" s="72"/>
      <c r="R1036" s="79"/>
    </row>
    <row r="1037" spans="2:48" x14ac:dyDescent="0.25">
      <c r="B1037" s="131"/>
      <c r="C1037" s="10"/>
      <c r="D1037" s="9"/>
      <c r="E1037" s="8"/>
      <c r="G1037" s="9"/>
    </row>
    <row r="1038" spans="2:48" ht="16.5" thickBot="1" x14ac:dyDescent="0.3">
      <c r="C1038" s="10"/>
      <c r="D1038" s="9"/>
      <c r="E1038" s="8"/>
      <c r="G1038" s="9"/>
    </row>
    <row r="1039" spans="2:48" ht="21.75" thickBot="1" x14ac:dyDescent="0.4">
      <c r="B1039" s="200" t="str">
        <f>Modelo!F25</f>
        <v>Rentabilidad esperada y flujos de caja</v>
      </c>
      <c r="C1039" s="623"/>
      <c r="D1039" s="617"/>
      <c r="E1039" s="22"/>
      <c r="F1039" s="22"/>
      <c r="G1039" s="22"/>
      <c r="H1039" s="22"/>
      <c r="I1039" s="22"/>
      <c r="J1039" s="22"/>
      <c r="K1039" s="22"/>
      <c r="L1039" s="22"/>
      <c r="M1039" s="22"/>
      <c r="N1039" s="22"/>
      <c r="O1039" s="22"/>
      <c r="P1039" s="22"/>
      <c r="Q1039" s="22"/>
      <c r="R1039" s="22"/>
      <c r="S1039" s="22"/>
      <c r="T1039" s="22"/>
      <c r="U1039" s="22"/>
      <c r="V1039" s="22"/>
      <c r="W1039" s="22"/>
      <c r="X1039" s="22"/>
      <c r="Y1039" s="22"/>
      <c r="Z1039" s="22"/>
      <c r="AA1039" s="22"/>
      <c r="AB1039" s="22"/>
      <c r="AC1039" s="22"/>
      <c r="AD1039" s="22"/>
      <c r="AE1039" s="22"/>
      <c r="AF1039" s="22"/>
      <c r="AG1039" s="22"/>
      <c r="AH1039" s="22"/>
      <c r="AI1039" s="22"/>
      <c r="AJ1039" s="22"/>
      <c r="AK1039" s="22"/>
      <c r="AL1039" s="22"/>
      <c r="AM1039" s="22"/>
      <c r="AN1039" s="22"/>
      <c r="AO1039" s="22"/>
      <c r="AP1039" s="22"/>
      <c r="AQ1039" s="22"/>
      <c r="AR1039" s="22"/>
      <c r="AS1039" s="22"/>
      <c r="AT1039" s="22"/>
      <c r="AU1039" s="22"/>
      <c r="AV1039" s="23"/>
    </row>
    <row r="1040" spans="2:48" ht="15" x14ac:dyDescent="0.25">
      <c r="B1040" s="32"/>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AR1040" s="26"/>
      <c r="AS1040" s="26"/>
      <c r="AT1040" s="26"/>
      <c r="AU1040" s="26"/>
      <c r="AV1040" s="27"/>
    </row>
    <row r="1041" spans="2:48" ht="15" x14ac:dyDescent="0.25">
      <c r="B1041" s="32"/>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AR1041" s="26"/>
      <c r="AS1041" s="26"/>
      <c r="AT1041" s="26"/>
      <c r="AU1041" s="26"/>
      <c r="AV1041" s="27"/>
    </row>
    <row r="1042" spans="2:48" ht="15" x14ac:dyDescent="0.25">
      <c r="B1042" s="32"/>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U1042" s="26"/>
      <c r="AV1042" s="27"/>
    </row>
    <row r="1043" spans="2:48" ht="15" x14ac:dyDescent="0.25">
      <c r="B1043" s="32"/>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U1043" s="26"/>
      <c r="AV1043" s="27"/>
    </row>
    <row r="1044" spans="2:48" ht="15" x14ac:dyDescent="0.25">
      <c r="B1044" s="32"/>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AR1044" s="26"/>
      <c r="AS1044" s="26"/>
      <c r="AT1044" s="26"/>
      <c r="AU1044" s="26"/>
      <c r="AV1044" s="27"/>
    </row>
    <row r="1045" spans="2:48" ht="15" x14ac:dyDescent="0.25">
      <c r="B1045" s="32"/>
      <c r="C1045" s="26"/>
      <c r="D1045" s="26"/>
      <c r="E1045" s="26"/>
      <c r="F1045" s="26"/>
      <c r="G1045" s="26"/>
      <c r="H1045" s="26"/>
      <c r="I1045" s="26"/>
      <c r="J1045" s="26"/>
      <c r="K1045" s="26"/>
      <c r="L1045" s="26"/>
      <c r="M1045" s="26"/>
      <c r="N1045" s="26"/>
      <c r="O1045" s="26"/>
      <c r="P1045" s="26"/>
      <c r="Q1045" s="26"/>
      <c r="R1045" s="26"/>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AR1045" s="26"/>
      <c r="AS1045" s="26"/>
      <c r="AT1045" s="26"/>
      <c r="AU1045" s="26"/>
      <c r="AV1045" s="27"/>
    </row>
    <row r="1046" spans="2:48" ht="15" x14ac:dyDescent="0.25">
      <c r="B1046" s="32"/>
      <c r="C1046" s="26"/>
      <c r="D1046" s="26"/>
      <c r="E1046" s="26"/>
      <c r="F1046" s="26"/>
      <c r="G1046" s="26"/>
      <c r="H1046" s="26"/>
      <c r="I1046" s="26"/>
      <c r="J1046" s="26"/>
      <c r="K1046" s="26"/>
      <c r="L1046" s="26"/>
      <c r="M1046" s="26"/>
      <c r="N1046" s="26"/>
      <c r="O1046" s="26"/>
      <c r="P1046" s="26"/>
      <c r="Q1046" s="26"/>
      <c r="R1046" s="26"/>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AR1046" s="26"/>
      <c r="AS1046" s="26"/>
      <c r="AT1046" s="26"/>
      <c r="AU1046" s="26"/>
      <c r="AV1046" s="27"/>
    </row>
    <row r="1047" spans="2:48" s="15" customFormat="1" thickBot="1" x14ac:dyDescent="0.3">
      <c r="B1047" s="100"/>
      <c r="C1047" s="125"/>
      <c r="D1047" s="102"/>
      <c r="E1047" s="102"/>
      <c r="F1047" s="102"/>
      <c r="G1047" s="102"/>
      <c r="H1047" s="102"/>
      <c r="I1047" s="97"/>
      <c r="J1047" s="97"/>
      <c r="K1047" s="97"/>
      <c r="L1047" s="97"/>
      <c r="M1047" s="97"/>
      <c r="N1047" s="97"/>
      <c r="O1047" s="97"/>
      <c r="P1047" s="97"/>
      <c r="Q1047" s="26"/>
      <c r="R1047" s="26"/>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AR1047" s="26"/>
      <c r="AS1047" s="26"/>
      <c r="AT1047" s="26"/>
      <c r="AU1047" s="26"/>
      <c r="AV1047" s="27"/>
    </row>
    <row r="1048" spans="2:48" s="15" customFormat="1" thickBot="1" x14ac:dyDescent="0.3">
      <c r="B1048" s="100"/>
      <c r="C1048" s="126" t="s">
        <v>110</v>
      </c>
      <c r="D1048" s="448" t="s">
        <v>7</v>
      </c>
      <c r="E1048" s="449" t="s">
        <v>103</v>
      </c>
      <c r="F1048" s="449" t="s">
        <v>104</v>
      </c>
      <c r="G1048" s="449" t="s">
        <v>105</v>
      </c>
      <c r="H1048" s="450" t="s">
        <v>106</v>
      </c>
      <c r="I1048" s="97"/>
      <c r="J1048" s="97"/>
      <c r="K1048" s="97"/>
      <c r="L1048" s="97"/>
      <c r="M1048" s="97"/>
      <c r="N1048" s="97"/>
      <c r="O1048" s="97"/>
      <c r="P1048" s="97"/>
      <c r="Q1048" s="26"/>
      <c r="R1048" s="26"/>
      <c r="S1048" s="26"/>
      <c r="T1048" s="26"/>
      <c r="U1048" s="26"/>
      <c r="V1048" s="26"/>
      <c r="W1048" s="26"/>
      <c r="X1048" s="26"/>
      <c r="Y1048" s="26"/>
      <c r="Z1048" s="26"/>
      <c r="AA1048" s="26"/>
      <c r="AB1048" s="26"/>
      <c r="AC1048" s="26"/>
      <c r="AD1048" s="26"/>
      <c r="AE1048" s="26"/>
      <c r="AF1048" s="26"/>
      <c r="AG1048" s="26"/>
      <c r="AH1048" s="26"/>
      <c r="AI1048" s="26"/>
      <c r="AJ1048" s="26"/>
      <c r="AK1048" s="26"/>
      <c r="AL1048" s="26"/>
      <c r="AM1048" s="26"/>
      <c r="AN1048" s="26"/>
      <c r="AO1048" s="26"/>
      <c r="AP1048" s="26"/>
      <c r="AQ1048" s="26"/>
      <c r="AR1048" s="26"/>
      <c r="AS1048" s="26"/>
      <c r="AT1048" s="26"/>
      <c r="AU1048" s="26"/>
      <c r="AV1048" s="27"/>
    </row>
    <row r="1049" spans="2:48" s="15" customFormat="1" x14ac:dyDescent="0.25">
      <c r="B1049" s="100"/>
      <c r="C1049" s="325" t="s">
        <v>53</v>
      </c>
      <c r="D1049" s="410">
        <f>D353</f>
        <v>216000</v>
      </c>
      <c r="E1049" s="410">
        <f>E353</f>
        <v>222480</v>
      </c>
      <c r="F1049" s="410">
        <f>F353</f>
        <v>233604</v>
      </c>
      <c r="G1049" s="410">
        <f>G353</f>
        <v>249956.28000000003</v>
      </c>
      <c r="H1049" s="411">
        <f>H353</f>
        <v>274951.90800000005</v>
      </c>
      <c r="I1049" s="97"/>
      <c r="J1049" s="97"/>
      <c r="K1049" s="97"/>
      <c r="L1049" s="97"/>
      <c r="M1049" s="97"/>
      <c r="N1049" s="97"/>
      <c r="O1049" s="97"/>
      <c r="P1049" s="97"/>
      <c r="Q1049" s="26"/>
      <c r="R1049" s="26"/>
      <c r="S1049" s="26"/>
      <c r="T1049" s="26"/>
      <c r="U1049" s="26"/>
      <c r="V1049" s="26"/>
      <c r="W1049" s="26"/>
      <c r="X1049" s="26"/>
      <c r="Y1049" s="26"/>
      <c r="Z1049" s="26"/>
      <c r="AA1049" s="26"/>
      <c r="AB1049" s="26"/>
      <c r="AC1049" s="26"/>
      <c r="AD1049" s="26"/>
      <c r="AE1049" s="26"/>
      <c r="AF1049" s="26"/>
      <c r="AG1049" s="26"/>
      <c r="AH1049" s="26"/>
      <c r="AI1049" s="26"/>
      <c r="AJ1049" s="26"/>
      <c r="AK1049" s="26"/>
      <c r="AL1049" s="26"/>
      <c r="AM1049" s="26"/>
      <c r="AN1049" s="26"/>
      <c r="AO1049" s="26"/>
      <c r="AP1049" s="26"/>
      <c r="AQ1049" s="26"/>
      <c r="AR1049" s="26"/>
      <c r="AS1049" s="26"/>
      <c r="AT1049" s="26"/>
      <c r="AU1049" s="26"/>
      <c r="AV1049" s="27"/>
    </row>
    <row r="1050" spans="2:48" s="15" customFormat="1" x14ac:dyDescent="0.25">
      <c r="B1050" s="100"/>
      <c r="C1050" s="304" t="s">
        <v>52</v>
      </c>
      <c r="D1050" s="412">
        <f>D358</f>
        <v>63360</v>
      </c>
      <c r="E1050" s="412">
        <f>E358</f>
        <v>65260.800000000003</v>
      </c>
      <c r="F1050" s="412">
        <f>F358</f>
        <v>67218.624000000011</v>
      </c>
      <c r="G1050" s="412">
        <f>G358</f>
        <v>69235.182720000012</v>
      </c>
      <c r="H1050" s="413">
        <f>H358</f>
        <v>71312.238201600019</v>
      </c>
      <c r="I1050" s="97"/>
      <c r="J1050" s="97"/>
      <c r="K1050" s="97"/>
      <c r="L1050" s="97"/>
      <c r="M1050" s="97"/>
      <c r="N1050" s="97"/>
      <c r="O1050" s="97"/>
      <c r="P1050" s="97"/>
      <c r="Q1050" s="26"/>
      <c r="R1050" s="26"/>
      <c r="S1050" s="26"/>
      <c r="T1050" s="26"/>
      <c r="U1050" s="26"/>
      <c r="V1050" s="26"/>
      <c r="W1050" s="26"/>
      <c r="X1050" s="26"/>
      <c r="Y1050" s="26"/>
      <c r="Z1050" s="26"/>
      <c r="AA1050" s="26"/>
      <c r="AB1050" s="26"/>
      <c r="AC1050" s="26"/>
      <c r="AD1050" s="26"/>
      <c r="AE1050" s="26"/>
      <c r="AF1050" s="26"/>
      <c r="AG1050" s="26"/>
      <c r="AH1050" s="26"/>
      <c r="AI1050" s="26"/>
      <c r="AJ1050" s="26"/>
      <c r="AK1050" s="26"/>
      <c r="AL1050" s="26"/>
      <c r="AM1050" s="26"/>
      <c r="AN1050" s="26"/>
      <c r="AO1050" s="26"/>
      <c r="AP1050" s="26"/>
      <c r="AQ1050" s="26"/>
      <c r="AR1050" s="26"/>
      <c r="AS1050" s="26"/>
      <c r="AT1050" s="26"/>
      <c r="AU1050" s="26"/>
      <c r="AV1050" s="27"/>
    </row>
    <row r="1051" spans="2:48" s="15" customFormat="1" x14ac:dyDescent="0.25">
      <c r="B1051" s="100"/>
      <c r="C1051" s="304" t="s">
        <v>55</v>
      </c>
      <c r="D1051" s="412">
        <f>D360</f>
        <v>960</v>
      </c>
      <c r="E1051" s="412">
        <f>E360</f>
        <v>960</v>
      </c>
      <c r="F1051" s="412">
        <f>F360</f>
        <v>960</v>
      </c>
      <c r="G1051" s="412">
        <f>G360</f>
        <v>960</v>
      </c>
      <c r="H1051" s="413">
        <f>H360</f>
        <v>810</v>
      </c>
      <c r="I1051" s="97"/>
      <c r="J1051" s="97"/>
      <c r="K1051" s="97"/>
      <c r="L1051" s="97"/>
      <c r="M1051" s="97"/>
      <c r="N1051" s="97"/>
      <c r="O1051" s="97"/>
      <c r="P1051" s="97"/>
      <c r="Q1051" s="26"/>
      <c r="R1051" s="26"/>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AR1051" s="26"/>
      <c r="AS1051" s="26"/>
      <c r="AT1051" s="26"/>
      <c r="AU1051" s="26"/>
      <c r="AV1051" s="27"/>
    </row>
    <row r="1052" spans="2:48" s="15" customFormat="1" x14ac:dyDescent="0.25">
      <c r="B1052" s="100"/>
      <c r="C1052" s="304" t="s">
        <v>56</v>
      </c>
      <c r="D1052" s="412">
        <f>D356</f>
        <v>108000</v>
      </c>
      <c r="E1052" s="412">
        <f>E356</f>
        <v>113400</v>
      </c>
      <c r="F1052" s="412">
        <f>F356</f>
        <v>119070</v>
      </c>
      <c r="G1052" s="412">
        <f>G356</f>
        <v>126214.20000000001</v>
      </c>
      <c r="H1052" s="413">
        <f>H356</f>
        <v>135049.19400000002</v>
      </c>
      <c r="I1052" s="97"/>
      <c r="J1052" s="97"/>
      <c r="K1052" s="97"/>
      <c r="L1052" s="97"/>
      <c r="M1052" s="97"/>
      <c r="N1052" s="97"/>
      <c r="O1052" s="97"/>
      <c r="P1052" s="97"/>
      <c r="Q1052" s="26"/>
      <c r="R1052" s="26"/>
      <c r="S1052" s="26"/>
      <c r="T1052" s="26"/>
      <c r="U1052" s="26"/>
      <c r="V1052" s="26"/>
      <c r="W1052" s="26"/>
      <c r="X1052" s="26"/>
      <c r="Y1052" s="26"/>
      <c r="Z1052" s="26"/>
      <c r="AA1052" s="26"/>
      <c r="AB1052" s="26"/>
      <c r="AC1052" s="26"/>
      <c r="AD1052" s="26"/>
      <c r="AE1052" s="26"/>
      <c r="AF1052" s="26"/>
      <c r="AG1052" s="26"/>
      <c r="AH1052" s="26"/>
      <c r="AI1052" s="26"/>
      <c r="AJ1052" s="26"/>
      <c r="AK1052" s="26"/>
      <c r="AL1052" s="26"/>
      <c r="AM1052" s="26"/>
      <c r="AN1052" s="26"/>
      <c r="AO1052" s="26"/>
      <c r="AP1052" s="26"/>
      <c r="AQ1052" s="26"/>
      <c r="AR1052" s="26"/>
      <c r="AS1052" s="26"/>
      <c r="AT1052" s="26"/>
      <c r="AU1052" s="26"/>
      <c r="AV1052" s="27"/>
    </row>
    <row r="1053" spans="2:48" s="15" customFormat="1" x14ac:dyDescent="0.25">
      <c r="B1053" s="100"/>
      <c r="C1053" s="304" t="s">
        <v>57</v>
      </c>
      <c r="D1053" s="412">
        <f>D366</f>
        <v>292.78534313049511</v>
      </c>
      <c r="E1053" s="412">
        <f>E366</f>
        <v>234.93520679033745</v>
      </c>
      <c r="F1053" s="412">
        <f>F366</f>
        <v>173.51700062465579</v>
      </c>
      <c r="G1053" s="412">
        <f>G366</f>
        <v>108.31065389403217</v>
      </c>
      <c r="H1053" s="413">
        <f>H366</f>
        <v>39.082522377385843</v>
      </c>
      <c r="I1053" s="97"/>
      <c r="J1053" s="97"/>
      <c r="K1053" s="97"/>
      <c r="L1053" s="97"/>
      <c r="M1053" s="97"/>
      <c r="N1053" s="97"/>
      <c r="O1053" s="97"/>
      <c r="P1053" s="97"/>
      <c r="Q1053" s="26"/>
      <c r="R1053" s="26"/>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U1053" s="26"/>
      <c r="AV1053" s="27"/>
    </row>
    <row r="1054" spans="2:48" s="15" customFormat="1" x14ac:dyDescent="0.25">
      <c r="B1054" s="100"/>
      <c r="C1054" s="304" t="s">
        <v>107</v>
      </c>
      <c r="D1054" s="412">
        <f>D359</f>
        <v>28080</v>
      </c>
      <c r="E1054" s="412">
        <f>E359</f>
        <v>23503.200000000001</v>
      </c>
      <c r="F1054" s="412">
        <f>F359</f>
        <v>23973.264000000003</v>
      </c>
      <c r="G1054" s="412">
        <f>G359</f>
        <v>24212.996640000005</v>
      </c>
      <c r="H1054" s="413">
        <f>H359</f>
        <v>24455.126606400005</v>
      </c>
      <c r="I1054" s="97"/>
      <c r="J1054" s="97"/>
      <c r="K1054" s="97"/>
      <c r="L1054" s="97"/>
      <c r="M1054" s="97"/>
      <c r="N1054" s="97"/>
      <c r="O1054" s="97"/>
      <c r="P1054" s="97"/>
      <c r="Q1054" s="26"/>
      <c r="R1054" s="26"/>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U1054" s="26"/>
      <c r="AV1054" s="27"/>
    </row>
    <row r="1055" spans="2:48" s="15" customFormat="1" x14ac:dyDescent="0.25">
      <c r="B1055" s="100"/>
      <c r="C1055" s="304" t="s">
        <v>54</v>
      </c>
      <c r="D1055" s="412">
        <f t="shared" ref="D1055:H1056" si="140">D371</f>
        <v>15307.214656869504</v>
      </c>
      <c r="E1055" s="412">
        <f t="shared" si="140"/>
        <v>19121.064793209662</v>
      </c>
      <c r="F1055" s="412">
        <f t="shared" si="140"/>
        <v>22208.594999375338</v>
      </c>
      <c r="G1055" s="412">
        <f t="shared" si="140"/>
        <v>29225.589986105973</v>
      </c>
      <c r="H1055" s="413">
        <f t="shared" si="140"/>
        <v>43286.266669622622</v>
      </c>
      <c r="I1055" s="97"/>
      <c r="J1055" s="97"/>
      <c r="K1055" s="97"/>
      <c r="L1055" s="97"/>
      <c r="M1055" s="97"/>
      <c r="N1055" s="97"/>
      <c r="O1055" s="97"/>
      <c r="P1055" s="97"/>
      <c r="Q1055" s="97"/>
      <c r="R1055" s="97"/>
      <c r="S1055" s="97"/>
      <c r="T1055" s="97"/>
      <c r="U1055" s="97"/>
      <c r="V1055" s="97"/>
      <c r="W1055" s="97"/>
      <c r="X1055" s="97"/>
      <c r="Y1055" s="97"/>
      <c r="Z1055" s="97"/>
      <c r="AA1055" s="97"/>
      <c r="AB1055" s="97"/>
      <c r="AC1055" s="97"/>
      <c r="AD1055" s="97"/>
      <c r="AE1055" s="97"/>
      <c r="AF1055" s="97"/>
      <c r="AG1055" s="97"/>
      <c r="AH1055" s="97"/>
      <c r="AI1055" s="97"/>
      <c r="AJ1055" s="97"/>
      <c r="AK1055" s="97"/>
      <c r="AL1055" s="97"/>
      <c r="AM1055" s="97"/>
      <c r="AN1055" s="97"/>
      <c r="AO1055" s="97"/>
      <c r="AP1055" s="97"/>
      <c r="AQ1055" s="97"/>
      <c r="AR1055" s="97"/>
      <c r="AS1055" s="97"/>
      <c r="AT1055" s="97"/>
      <c r="AU1055" s="97"/>
      <c r="AV1055" s="98"/>
    </row>
    <row r="1056" spans="2:48" s="15" customFormat="1" x14ac:dyDescent="0.25">
      <c r="B1056" s="99"/>
      <c r="C1056" s="304" t="s">
        <v>49</v>
      </c>
      <c r="D1056" s="412">
        <f t="shared" si="140"/>
        <v>3826.8036642173761</v>
      </c>
      <c r="E1056" s="412">
        <f t="shared" si="140"/>
        <v>4780.2661983024154</v>
      </c>
      <c r="F1056" s="412">
        <f t="shared" si="140"/>
        <v>5552.1487498438346</v>
      </c>
      <c r="G1056" s="412">
        <f t="shared" si="140"/>
        <v>7306.3974965264933</v>
      </c>
      <c r="H1056" s="413">
        <f t="shared" si="140"/>
        <v>10821.566667405656</v>
      </c>
      <c r="I1056" s="97"/>
      <c r="J1056" s="97"/>
      <c r="K1056" s="97"/>
      <c r="L1056" s="97"/>
      <c r="M1056" s="97"/>
      <c r="N1056" s="97"/>
      <c r="O1056" s="97"/>
      <c r="P1056" s="97"/>
      <c r="Q1056" s="97"/>
      <c r="R1056" s="97"/>
      <c r="S1056" s="97"/>
      <c r="T1056" s="97"/>
      <c r="U1056" s="97"/>
      <c r="V1056" s="97"/>
      <c r="W1056" s="97"/>
      <c r="X1056" s="97"/>
      <c r="Y1056" s="97"/>
      <c r="Z1056" s="97"/>
      <c r="AA1056" s="97"/>
      <c r="AB1056" s="97"/>
      <c r="AC1056" s="97"/>
      <c r="AD1056" s="97"/>
      <c r="AE1056" s="97"/>
      <c r="AF1056" s="97"/>
      <c r="AG1056" s="97"/>
      <c r="AH1056" s="97"/>
      <c r="AI1056" s="97"/>
      <c r="AJ1056" s="97"/>
      <c r="AK1056" s="97"/>
      <c r="AL1056" s="97"/>
      <c r="AM1056" s="97"/>
      <c r="AN1056" s="97"/>
      <c r="AO1056" s="97"/>
      <c r="AP1056" s="97"/>
      <c r="AQ1056" s="97"/>
      <c r="AR1056" s="97"/>
      <c r="AS1056" s="97"/>
      <c r="AT1056" s="97"/>
      <c r="AU1056" s="97"/>
      <c r="AV1056" s="98"/>
    </row>
    <row r="1057" spans="2:48" s="15" customFormat="1" x14ac:dyDescent="0.25">
      <c r="B1057" s="99"/>
      <c r="C1057" s="304" t="s">
        <v>109</v>
      </c>
      <c r="D1057" s="412">
        <f>D1055-D1056</f>
        <v>11480.410992652129</v>
      </c>
      <c r="E1057" s="412">
        <f t="shared" ref="E1057:H1057" si="141">E1055-E1056</f>
        <v>14340.798594907246</v>
      </c>
      <c r="F1057" s="412">
        <f t="shared" si="141"/>
        <v>16656.446249531502</v>
      </c>
      <c r="G1057" s="412">
        <f t="shared" si="141"/>
        <v>21919.19248957948</v>
      </c>
      <c r="H1057" s="413">
        <f t="shared" si="141"/>
        <v>32464.700002216967</v>
      </c>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97"/>
      <c r="AE1057" s="97"/>
      <c r="AF1057" s="97"/>
      <c r="AG1057" s="97"/>
      <c r="AH1057" s="97"/>
      <c r="AI1057" s="97"/>
      <c r="AJ1057" s="97"/>
      <c r="AK1057" s="97"/>
      <c r="AL1057" s="97"/>
      <c r="AM1057" s="97"/>
      <c r="AN1057" s="97"/>
      <c r="AO1057" s="97"/>
      <c r="AP1057" s="97"/>
      <c r="AQ1057" s="97"/>
      <c r="AR1057" s="97"/>
      <c r="AS1057" s="97"/>
      <c r="AT1057" s="97"/>
      <c r="AU1057" s="97"/>
      <c r="AV1057" s="98"/>
    </row>
    <row r="1058" spans="2:48" s="15" customFormat="1" x14ac:dyDescent="0.25">
      <c r="B1058" s="99"/>
      <c r="C1058" s="304" t="s">
        <v>55</v>
      </c>
      <c r="D1058" s="335">
        <f>D360</f>
        <v>960</v>
      </c>
      <c r="E1058" s="335">
        <f t="shared" ref="E1058:H1058" si="142">E360</f>
        <v>960</v>
      </c>
      <c r="F1058" s="335">
        <f t="shared" si="142"/>
        <v>960</v>
      </c>
      <c r="G1058" s="335">
        <f t="shared" si="142"/>
        <v>960</v>
      </c>
      <c r="H1058" s="509">
        <f t="shared" si="142"/>
        <v>810</v>
      </c>
      <c r="I1058" s="97"/>
      <c r="J1058" s="97"/>
      <c r="K1058" s="97"/>
      <c r="L1058" s="97"/>
      <c r="M1058" s="97"/>
      <c r="N1058" s="97"/>
      <c r="O1058" s="97"/>
      <c r="P1058" s="97"/>
      <c r="Q1058" s="97"/>
      <c r="R1058" s="97"/>
      <c r="S1058" s="97"/>
      <c r="T1058" s="97"/>
      <c r="U1058" s="97"/>
      <c r="V1058" s="97"/>
      <c r="W1058" s="97"/>
      <c r="X1058" s="97"/>
      <c r="Y1058" s="97"/>
      <c r="Z1058" s="97"/>
      <c r="AA1058" s="97"/>
      <c r="AB1058" s="97"/>
      <c r="AC1058" s="97"/>
      <c r="AD1058" s="97"/>
      <c r="AE1058" s="97"/>
      <c r="AF1058" s="97"/>
      <c r="AG1058" s="97"/>
      <c r="AH1058" s="97"/>
      <c r="AI1058" s="97"/>
      <c r="AJ1058" s="97"/>
      <c r="AK1058" s="97"/>
      <c r="AL1058" s="97"/>
      <c r="AM1058" s="97"/>
      <c r="AN1058" s="97"/>
      <c r="AO1058" s="97"/>
      <c r="AP1058" s="97"/>
      <c r="AQ1058" s="97"/>
      <c r="AR1058" s="97"/>
      <c r="AS1058" s="97"/>
      <c r="AT1058" s="97"/>
      <c r="AU1058" s="97"/>
      <c r="AV1058" s="98"/>
    </row>
    <row r="1059" spans="2:48" s="15" customFormat="1" ht="16.5" thickBot="1" x14ac:dyDescent="0.3">
      <c r="B1059" s="99"/>
      <c r="C1059" s="305" t="s">
        <v>838</v>
      </c>
      <c r="D1059" s="414">
        <f>D1057+D1058</f>
        <v>12440.410992652129</v>
      </c>
      <c r="E1059" s="414">
        <f t="shared" ref="E1059:H1059" si="143">E1057+E1058</f>
        <v>15300.798594907246</v>
      </c>
      <c r="F1059" s="414">
        <f t="shared" si="143"/>
        <v>17616.446249531502</v>
      </c>
      <c r="G1059" s="414">
        <f t="shared" si="143"/>
        <v>22879.19248957948</v>
      </c>
      <c r="H1059" s="415">
        <f t="shared" si="143"/>
        <v>33274.700002216967</v>
      </c>
      <c r="I1059" s="97"/>
      <c r="J1059" s="97"/>
      <c r="K1059" s="97"/>
      <c r="L1059" s="97"/>
      <c r="M1059" s="97"/>
      <c r="N1059" s="97"/>
      <c r="O1059" s="97"/>
      <c r="P1059" s="97"/>
      <c r="Q1059" s="97"/>
      <c r="R1059" s="97"/>
      <c r="S1059" s="97"/>
      <c r="T1059" s="97"/>
      <c r="U1059" s="97"/>
      <c r="V1059" s="97"/>
      <c r="W1059" s="97"/>
      <c r="X1059" s="97"/>
      <c r="Y1059" s="97"/>
      <c r="Z1059" s="97"/>
      <c r="AA1059" s="97"/>
      <c r="AB1059" s="97"/>
      <c r="AC1059" s="97"/>
      <c r="AD1059" s="97"/>
      <c r="AE1059" s="97"/>
      <c r="AF1059" s="97"/>
      <c r="AG1059" s="97"/>
      <c r="AH1059" s="97"/>
      <c r="AI1059" s="97"/>
      <c r="AJ1059" s="97"/>
      <c r="AK1059" s="97"/>
      <c r="AL1059" s="97"/>
      <c r="AM1059" s="97"/>
      <c r="AN1059" s="97"/>
      <c r="AO1059" s="97"/>
      <c r="AP1059" s="97"/>
      <c r="AQ1059" s="97"/>
      <c r="AR1059" s="97"/>
      <c r="AS1059" s="97"/>
      <c r="AT1059" s="97"/>
      <c r="AU1059" s="97"/>
      <c r="AV1059" s="98"/>
    </row>
    <row r="1060" spans="2:48" s="15" customFormat="1" x14ac:dyDescent="0.25">
      <c r="B1060" s="99"/>
      <c r="C1060" s="26"/>
      <c r="D1060" s="486"/>
      <c r="E1060" s="486"/>
      <c r="F1060" s="486"/>
      <c r="G1060" s="486"/>
      <c r="H1060" s="486"/>
      <c r="I1060" s="97"/>
      <c r="J1060" s="97"/>
      <c r="K1060" s="97"/>
      <c r="L1060" s="97"/>
      <c r="M1060" s="97"/>
      <c r="N1060" s="97"/>
      <c r="O1060" s="97"/>
      <c r="P1060" s="97"/>
      <c r="Q1060" s="97"/>
      <c r="R1060" s="97"/>
      <c r="S1060" s="97"/>
      <c r="T1060" s="97"/>
      <c r="U1060" s="97"/>
      <c r="V1060" s="97"/>
      <c r="W1060" s="97"/>
      <c r="X1060" s="97"/>
      <c r="Y1060" s="97"/>
      <c r="Z1060" s="97"/>
      <c r="AA1060" s="97"/>
      <c r="AB1060" s="97"/>
      <c r="AC1060" s="97"/>
      <c r="AD1060" s="97"/>
      <c r="AE1060" s="97"/>
      <c r="AF1060" s="97"/>
      <c r="AG1060" s="97"/>
      <c r="AH1060" s="97"/>
      <c r="AI1060" s="97"/>
      <c r="AJ1060" s="97"/>
      <c r="AK1060" s="97"/>
      <c r="AL1060" s="97"/>
      <c r="AM1060" s="97"/>
      <c r="AN1060" s="97"/>
      <c r="AO1060" s="97"/>
      <c r="AP1060" s="97"/>
      <c r="AQ1060" s="97"/>
      <c r="AR1060" s="97"/>
      <c r="AS1060" s="97"/>
      <c r="AT1060" s="97"/>
      <c r="AU1060" s="97"/>
      <c r="AV1060" s="98"/>
    </row>
    <row r="1061" spans="2:48" s="15" customFormat="1" thickBot="1" x14ac:dyDescent="0.3">
      <c r="B1061" s="99"/>
      <c r="C1061" s="127"/>
      <c r="D1061" s="26"/>
      <c r="E1061" s="26"/>
      <c r="F1061" s="26"/>
      <c r="G1061" s="26"/>
      <c r="H1061" s="26"/>
      <c r="I1061" s="97"/>
      <c r="J1061" s="97"/>
      <c r="K1061" s="97"/>
      <c r="L1061" s="97"/>
      <c r="M1061" s="97"/>
      <c r="N1061" s="97"/>
      <c r="O1061" s="97"/>
      <c r="P1061" s="97"/>
      <c r="Q1061" s="97"/>
      <c r="R1061" s="97"/>
      <c r="S1061" s="97"/>
      <c r="T1061" s="97"/>
      <c r="U1061" s="97"/>
      <c r="V1061" s="97"/>
      <c r="W1061" s="97"/>
      <c r="X1061" s="97"/>
      <c r="Y1061" s="97"/>
      <c r="Z1061" s="97"/>
      <c r="AA1061" s="97"/>
      <c r="AB1061" s="97"/>
      <c r="AC1061" s="97"/>
      <c r="AD1061" s="97"/>
      <c r="AE1061" s="97"/>
      <c r="AF1061" s="97"/>
      <c r="AG1061" s="97"/>
      <c r="AH1061" s="97"/>
      <c r="AI1061" s="97"/>
      <c r="AJ1061" s="97"/>
      <c r="AK1061" s="97"/>
      <c r="AL1061" s="97"/>
      <c r="AM1061" s="97"/>
      <c r="AN1061" s="97"/>
      <c r="AO1061" s="97"/>
      <c r="AP1061" s="97"/>
      <c r="AQ1061" s="97"/>
      <c r="AR1061" s="97"/>
      <c r="AS1061" s="97"/>
      <c r="AT1061" s="97"/>
      <c r="AU1061" s="97"/>
      <c r="AV1061" s="98"/>
    </row>
    <row r="1062" spans="2:48" s="15" customFormat="1" ht="16.5" thickBot="1" x14ac:dyDescent="0.3">
      <c r="B1062" s="99"/>
      <c r="C1062" s="11" t="s">
        <v>741</v>
      </c>
      <c r="D1062" s="409">
        <f>E155</f>
        <v>20305</v>
      </c>
      <c r="E1062" s="26"/>
      <c r="F1062" s="101"/>
      <c r="G1062" s="97"/>
      <c r="H1062" s="101"/>
      <c r="I1062" s="97"/>
      <c r="J1062" s="97"/>
      <c r="K1062" s="97"/>
      <c r="L1062" s="97"/>
      <c r="M1062" s="97"/>
      <c r="N1062" s="429">
        <f>-D1062</f>
        <v>-20305</v>
      </c>
      <c r="O1062" s="430">
        <f>D1059</f>
        <v>12440.410992652129</v>
      </c>
      <c r="P1062" s="430">
        <f>E1059</f>
        <v>15300.798594907246</v>
      </c>
      <c r="Q1062" s="430">
        <f>F1059</f>
        <v>17616.446249531502</v>
      </c>
      <c r="R1062" s="430">
        <f>G1059</f>
        <v>22879.19248957948</v>
      </c>
      <c r="S1062" s="431">
        <f>H1059</f>
        <v>33274.700002216967</v>
      </c>
      <c r="T1062" s="97"/>
      <c r="U1062" s="97"/>
      <c r="V1062" s="97"/>
      <c r="W1062" s="97"/>
      <c r="X1062" s="97"/>
      <c r="Y1062" s="97"/>
      <c r="Z1062" s="97"/>
      <c r="AA1062" s="97"/>
      <c r="AB1062" s="97"/>
      <c r="AC1062" s="97"/>
      <c r="AD1062" s="97"/>
      <c r="AE1062" s="97"/>
      <c r="AF1062" s="97"/>
      <c r="AG1062" s="97"/>
      <c r="AH1062" s="97"/>
      <c r="AI1062" s="97"/>
      <c r="AJ1062" s="97"/>
      <c r="AK1062" s="97"/>
      <c r="AL1062" s="97"/>
      <c r="AM1062" s="97"/>
      <c r="AN1062" s="97"/>
      <c r="AO1062" s="97"/>
      <c r="AP1062" s="97"/>
      <c r="AQ1062" s="97"/>
      <c r="AR1062" s="97"/>
      <c r="AS1062" s="97"/>
      <c r="AT1062" s="97"/>
      <c r="AU1062" s="97"/>
      <c r="AV1062" s="98"/>
    </row>
    <row r="1063" spans="2:48" s="15" customFormat="1" x14ac:dyDescent="0.25">
      <c r="B1063" s="99"/>
      <c r="C1063" s="11" t="s">
        <v>50</v>
      </c>
      <c r="D1063" s="512">
        <f>6%</f>
        <v>0.06</v>
      </c>
      <c r="E1063" s="26"/>
      <c r="F1063" s="26"/>
      <c r="G1063" s="97"/>
      <c r="H1063" s="97"/>
      <c r="I1063" s="97"/>
      <c r="J1063" s="97"/>
      <c r="K1063" s="97"/>
      <c r="L1063" s="97"/>
      <c r="M1063" s="97"/>
      <c r="N1063" s="97"/>
      <c r="O1063" s="97"/>
      <c r="P1063" s="97"/>
      <c r="Q1063" s="97"/>
      <c r="R1063" s="97"/>
      <c r="S1063" s="97"/>
      <c r="T1063" s="97"/>
      <c r="U1063" s="97"/>
      <c r="V1063" s="97"/>
      <c r="W1063" s="97"/>
      <c r="X1063" s="97"/>
      <c r="Y1063" s="97"/>
      <c r="Z1063" s="97"/>
      <c r="AA1063" s="97"/>
      <c r="AB1063" s="97"/>
      <c r="AC1063" s="97"/>
      <c r="AD1063" s="97"/>
      <c r="AE1063" s="97"/>
      <c r="AF1063" s="97"/>
      <c r="AG1063" s="97"/>
      <c r="AH1063" s="97"/>
      <c r="AI1063" s="97"/>
      <c r="AJ1063" s="97"/>
      <c r="AK1063" s="97"/>
      <c r="AL1063" s="97"/>
      <c r="AM1063" s="97"/>
      <c r="AN1063" s="97"/>
      <c r="AO1063" s="97"/>
      <c r="AP1063" s="97"/>
      <c r="AQ1063" s="97"/>
      <c r="AR1063" s="97"/>
      <c r="AS1063" s="97"/>
      <c r="AT1063" s="97"/>
      <c r="AU1063" s="97"/>
      <c r="AV1063" s="98"/>
    </row>
    <row r="1064" spans="2:48" s="15" customFormat="1" x14ac:dyDescent="0.25">
      <c r="B1064" s="99"/>
      <c r="C1064" s="11" t="s">
        <v>3</v>
      </c>
      <c r="D1064" s="670">
        <f>NPV(D1063,-D1062,D1059,E1059,F1059,G1059,H1059)</f>
        <v>59270.996180465627</v>
      </c>
      <c r="E1064" s="671"/>
      <c r="F1064" s="26" t="s">
        <v>841</v>
      </c>
      <c r="G1064" s="97"/>
      <c r="H1064" s="97"/>
      <c r="I1064" s="97"/>
      <c r="J1064" s="97"/>
      <c r="K1064" s="97"/>
      <c r="L1064" s="97"/>
      <c r="M1064" s="97"/>
      <c r="N1064" s="97"/>
      <c r="O1064" s="97"/>
      <c r="P1064" s="97"/>
      <c r="Q1064" s="97"/>
      <c r="R1064" s="97"/>
      <c r="S1064" s="97"/>
      <c r="T1064" s="97"/>
      <c r="U1064" s="97"/>
      <c r="V1064" s="97"/>
      <c r="W1064" s="97"/>
      <c r="X1064" s="97"/>
      <c r="Y1064" s="97"/>
      <c r="Z1064" s="97"/>
      <c r="AA1064" s="97"/>
      <c r="AB1064" s="97"/>
      <c r="AC1064" s="97"/>
      <c r="AD1064" s="97"/>
      <c r="AE1064" s="97"/>
      <c r="AF1064" s="97"/>
      <c r="AG1064" s="97"/>
      <c r="AH1064" s="97"/>
      <c r="AI1064" s="97"/>
      <c r="AJ1064" s="97"/>
      <c r="AK1064" s="97"/>
      <c r="AL1064" s="97"/>
      <c r="AM1064" s="97"/>
      <c r="AN1064" s="97"/>
      <c r="AO1064" s="97"/>
      <c r="AP1064" s="97"/>
      <c r="AQ1064" s="97"/>
      <c r="AR1064" s="97"/>
      <c r="AS1064" s="97"/>
      <c r="AT1064" s="97"/>
      <c r="AU1064" s="97"/>
      <c r="AV1064" s="98"/>
    </row>
    <row r="1065" spans="2:48" s="15" customFormat="1" x14ac:dyDescent="0.25">
      <c r="B1065" s="99"/>
      <c r="C1065" s="11" t="s">
        <v>2</v>
      </c>
      <c r="D1065" s="513">
        <f>IRR(N1062:R1062)</f>
        <v>0.64476712835041794</v>
      </c>
      <c r="E1065" s="26"/>
      <c r="F1065" s="101" t="s">
        <v>842</v>
      </c>
      <c r="G1065" s="97"/>
      <c r="H1065" s="101"/>
      <c r="I1065" s="97"/>
      <c r="J1065" s="97"/>
      <c r="K1065" s="97"/>
      <c r="L1065" s="97"/>
      <c r="M1065" s="97"/>
      <c r="N1065" s="97"/>
      <c r="O1065" s="97"/>
      <c r="P1065" s="97"/>
      <c r="Q1065" s="97"/>
      <c r="R1065" s="97"/>
      <c r="S1065" s="97"/>
      <c r="T1065" s="97"/>
      <c r="U1065" s="97"/>
      <c r="V1065" s="97"/>
      <c r="W1065" s="97"/>
      <c r="X1065" s="97"/>
      <c r="Y1065" s="97"/>
      <c r="Z1065" s="97"/>
      <c r="AA1065" s="97"/>
      <c r="AB1065" s="97"/>
      <c r="AC1065" s="97"/>
      <c r="AD1065" s="97"/>
      <c r="AE1065" s="97"/>
      <c r="AF1065" s="97"/>
      <c r="AG1065" s="97"/>
      <c r="AH1065" s="97"/>
      <c r="AI1065" s="97"/>
      <c r="AJ1065" s="97"/>
      <c r="AK1065" s="97"/>
      <c r="AL1065" s="97"/>
      <c r="AM1065" s="97"/>
      <c r="AN1065" s="97"/>
      <c r="AO1065" s="97"/>
      <c r="AP1065" s="97"/>
      <c r="AQ1065" s="97"/>
      <c r="AR1065" s="97"/>
      <c r="AS1065" s="97"/>
      <c r="AT1065" s="97"/>
      <c r="AU1065" s="97"/>
      <c r="AV1065" s="98"/>
    </row>
    <row r="1066" spans="2:48" s="15" customFormat="1" ht="15" x14ac:dyDescent="0.25">
      <c r="B1066" s="99"/>
      <c r="C1066" s="97"/>
      <c r="D1066" s="97"/>
      <c r="E1066" s="97"/>
      <c r="F1066" s="97"/>
      <c r="G1066" s="97"/>
      <c r="H1066" s="101"/>
      <c r="I1066" s="97"/>
      <c r="J1066" s="97"/>
      <c r="K1066" s="97"/>
      <c r="L1066" s="97"/>
      <c r="M1066" s="97"/>
      <c r="N1066" s="97"/>
      <c r="O1066" s="97"/>
      <c r="P1066" s="97"/>
      <c r="Q1066" s="97"/>
      <c r="R1066" s="97"/>
      <c r="S1066" s="97"/>
      <c r="T1066" s="97"/>
      <c r="U1066" s="97"/>
      <c r="V1066" s="97"/>
      <c r="W1066" s="97"/>
      <c r="X1066" s="97"/>
      <c r="Y1066" s="97"/>
      <c r="Z1066" s="97"/>
      <c r="AA1066" s="97"/>
      <c r="AB1066" s="97"/>
      <c r="AC1066" s="97"/>
      <c r="AD1066" s="97"/>
      <c r="AE1066" s="97"/>
      <c r="AF1066" s="97"/>
      <c r="AG1066" s="97"/>
      <c r="AH1066" s="97"/>
      <c r="AI1066" s="97"/>
      <c r="AJ1066" s="97"/>
      <c r="AK1066" s="97"/>
      <c r="AL1066" s="97"/>
      <c r="AM1066" s="97"/>
      <c r="AN1066" s="97"/>
      <c r="AO1066" s="97"/>
      <c r="AP1066" s="97"/>
      <c r="AQ1066" s="97"/>
      <c r="AR1066" s="97"/>
      <c r="AS1066" s="97"/>
      <c r="AT1066" s="97"/>
      <c r="AU1066" s="97"/>
      <c r="AV1066" s="98"/>
    </row>
    <row r="1067" spans="2:48" s="65" customFormat="1" ht="16.5" thickBot="1" x14ac:dyDescent="0.3">
      <c r="B1067" s="69"/>
      <c r="C1067" s="123"/>
      <c r="D1067" s="72"/>
      <c r="E1067" s="72"/>
      <c r="F1067" s="72"/>
      <c r="G1067" s="72"/>
      <c r="H1067" s="72"/>
      <c r="I1067" s="72"/>
      <c r="J1067" s="72"/>
      <c r="K1067" s="72"/>
      <c r="L1067" s="72"/>
      <c r="M1067" s="72"/>
      <c r="N1067" s="72"/>
      <c r="O1067" s="72"/>
      <c r="P1067" s="72"/>
      <c r="Q1067" s="165"/>
      <c r="R1067" s="165"/>
      <c r="S1067" s="165"/>
      <c r="T1067" s="165"/>
      <c r="U1067" s="165"/>
      <c r="V1067" s="165"/>
      <c r="W1067" s="165"/>
      <c r="X1067" s="165"/>
      <c r="Y1067" s="165"/>
      <c r="Z1067" s="165"/>
      <c r="AA1067" s="165"/>
      <c r="AB1067" s="165"/>
      <c r="AC1067" s="165"/>
      <c r="AD1067" s="165"/>
      <c r="AE1067" s="165"/>
      <c r="AF1067" s="165"/>
      <c r="AG1067" s="165"/>
      <c r="AH1067" s="165"/>
      <c r="AI1067" s="165"/>
      <c r="AJ1067" s="165"/>
      <c r="AK1067" s="165"/>
      <c r="AL1067" s="165"/>
      <c r="AM1067" s="165"/>
      <c r="AN1067" s="165"/>
      <c r="AO1067" s="165"/>
      <c r="AP1067" s="165"/>
      <c r="AQ1067" s="165"/>
      <c r="AR1067" s="165"/>
      <c r="AS1067" s="165"/>
      <c r="AT1067" s="165"/>
      <c r="AU1067" s="165"/>
      <c r="AV1067" s="166"/>
    </row>
    <row r="1068" spans="2:48" s="37" customFormat="1" ht="15" x14ac:dyDescent="0.25">
      <c r="B1068" s="52"/>
    </row>
    <row r="1069" spans="2:48" ht="16.5" thickBot="1" x14ac:dyDescent="0.3"/>
    <row r="1070" spans="2:48" ht="21.75" thickBot="1" x14ac:dyDescent="0.4">
      <c r="B1070" s="599" t="str">
        <f>Modelo!F27</f>
        <v>Riesgos</v>
      </c>
      <c r="C1070" s="600"/>
      <c r="D1070" s="601"/>
      <c r="E1070" s="22"/>
      <c r="F1070" s="22"/>
      <c r="G1070" s="22"/>
      <c r="H1070" s="22"/>
      <c r="I1070" s="22"/>
      <c r="J1070" s="22"/>
      <c r="K1070" s="22"/>
      <c r="L1070" s="75"/>
      <c r="M1070" s="22"/>
      <c r="N1070" s="22"/>
      <c r="O1070" s="22"/>
      <c r="P1070" s="22"/>
      <c r="Q1070" s="22"/>
      <c r="R1070" s="22"/>
      <c r="S1070" s="22"/>
      <c r="T1070" s="22"/>
      <c r="U1070" s="22"/>
      <c r="V1070" s="22"/>
      <c r="W1070" s="22"/>
      <c r="X1070" s="22"/>
      <c r="Y1070" s="22"/>
      <c r="Z1070" s="22"/>
      <c r="AA1070" s="22"/>
      <c r="AB1070" s="22"/>
      <c r="AC1070" s="22"/>
      <c r="AD1070" s="22"/>
      <c r="AE1070" s="22"/>
      <c r="AF1070" s="22"/>
      <c r="AG1070" s="22"/>
      <c r="AH1070" s="22"/>
      <c r="AI1070" s="22"/>
      <c r="AJ1070" s="22"/>
      <c r="AK1070" s="22"/>
      <c r="AL1070" s="22"/>
      <c r="AM1070" s="22"/>
      <c r="AN1070" s="22"/>
      <c r="AO1070" s="22"/>
      <c r="AP1070" s="22"/>
      <c r="AQ1070" s="22"/>
      <c r="AR1070" s="22"/>
      <c r="AS1070" s="22"/>
      <c r="AT1070" s="22"/>
      <c r="AU1070" s="22"/>
      <c r="AV1070" s="23"/>
    </row>
    <row r="1071" spans="2:48" s="13" customFormat="1" ht="18" customHeight="1" x14ac:dyDescent="0.25">
      <c r="B1071" s="53"/>
      <c r="C1071" s="54"/>
      <c r="D1071" s="54"/>
      <c r="E1071" s="54"/>
      <c r="F1071" s="54"/>
      <c r="G1071" s="54"/>
      <c r="H1071" s="54"/>
      <c r="I1071" s="54"/>
      <c r="J1071" s="54"/>
      <c r="K1071" s="54"/>
      <c r="L1071" s="67"/>
      <c r="M1071" s="54"/>
      <c r="N1071" s="67"/>
      <c r="O1071" s="67"/>
      <c r="P1071" s="26"/>
      <c r="Q1071" s="26"/>
      <c r="R1071" s="54"/>
      <c r="S1071" s="54"/>
      <c r="T1071" s="54"/>
      <c r="U1071" s="54"/>
      <c r="V1071" s="54"/>
      <c r="W1071" s="54"/>
      <c r="X1071" s="54"/>
      <c r="Y1071" s="54"/>
      <c r="Z1071" s="54"/>
      <c r="AA1071" s="54"/>
      <c r="AB1071" s="54"/>
      <c r="AC1071" s="54"/>
      <c r="AD1071" s="54"/>
      <c r="AE1071" s="54"/>
      <c r="AF1071" s="54"/>
      <c r="AG1071" s="54"/>
      <c r="AH1071" s="54"/>
      <c r="AI1071" s="54"/>
      <c r="AJ1071" s="54"/>
      <c r="AK1071" s="54"/>
      <c r="AL1071" s="54"/>
      <c r="AM1071" s="54"/>
      <c r="AN1071" s="54"/>
      <c r="AO1071" s="54"/>
      <c r="AP1071" s="54"/>
      <c r="AQ1071" s="54"/>
      <c r="AR1071" s="54"/>
      <c r="AS1071" s="54"/>
      <c r="AT1071" s="54"/>
      <c r="AU1071" s="54"/>
      <c r="AV1071" s="55"/>
    </row>
    <row r="1072" spans="2:48" s="13" customFormat="1" ht="18" customHeight="1" x14ac:dyDescent="0.25">
      <c r="B1072" s="53"/>
      <c r="C1072" s="54"/>
      <c r="D1072" s="54"/>
      <c r="E1072" s="54"/>
      <c r="F1072" s="54"/>
      <c r="G1072" s="54"/>
      <c r="H1072" s="54"/>
      <c r="I1072" s="54"/>
      <c r="J1072" s="54"/>
      <c r="K1072" s="54"/>
      <c r="L1072" s="67"/>
      <c r="M1072" s="54"/>
      <c r="N1072" s="67"/>
      <c r="O1072" s="67"/>
      <c r="P1072" s="26"/>
      <c r="Q1072" s="26"/>
      <c r="R1072" s="54"/>
      <c r="S1072" s="54"/>
      <c r="T1072" s="54"/>
      <c r="U1072" s="54"/>
      <c r="V1072" s="54"/>
      <c r="W1072" s="54"/>
      <c r="X1072" s="54"/>
      <c r="Y1072" s="54"/>
      <c r="Z1072" s="54"/>
      <c r="AA1072" s="54"/>
      <c r="AB1072" s="54"/>
      <c r="AC1072" s="54"/>
      <c r="AD1072" s="54"/>
      <c r="AE1072" s="54"/>
      <c r="AF1072" s="54"/>
      <c r="AG1072" s="54"/>
      <c r="AH1072" s="54"/>
      <c r="AI1072" s="54"/>
      <c r="AJ1072" s="54"/>
      <c r="AK1072" s="54"/>
      <c r="AL1072" s="54"/>
      <c r="AM1072" s="54"/>
      <c r="AN1072" s="54"/>
      <c r="AO1072" s="54"/>
      <c r="AP1072" s="54"/>
      <c r="AQ1072" s="54"/>
      <c r="AR1072" s="54"/>
      <c r="AS1072" s="54"/>
      <c r="AT1072" s="54"/>
      <c r="AU1072" s="54"/>
      <c r="AV1072" s="55"/>
    </row>
    <row r="1073" spans="1:48" s="13" customFormat="1" ht="18" customHeight="1" x14ac:dyDescent="0.25">
      <c r="B1073" s="53"/>
      <c r="C1073" s="54"/>
      <c r="D1073" s="54"/>
      <c r="E1073" s="54"/>
      <c r="F1073" s="54"/>
      <c r="G1073" s="54"/>
      <c r="H1073" s="54"/>
      <c r="I1073" s="54"/>
      <c r="J1073" s="54"/>
      <c r="K1073" s="54"/>
      <c r="L1073" s="67"/>
      <c r="M1073" s="54"/>
      <c r="N1073" s="67"/>
      <c r="O1073" s="67"/>
      <c r="P1073" s="26"/>
      <c r="Q1073" s="26"/>
      <c r="R1073" s="54"/>
      <c r="S1073" s="54"/>
      <c r="T1073" s="54"/>
      <c r="U1073" s="54"/>
      <c r="V1073" s="54"/>
      <c r="W1073" s="54"/>
      <c r="X1073" s="54"/>
      <c r="Y1073" s="54"/>
      <c r="Z1073" s="54"/>
      <c r="AA1073" s="54"/>
      <c r="AB1073" s="54"/>
      <c r="AC1073" s="54"/>
      <c r="AD1073" s="54"/>
      <c r="AE1073" s="54"/>
      <c r="AF1073" s="54"/>
      <c r="AG1073" s="54"/>
      <c r="AH1073" s="54"/>
      <c r="AI1073" s="54"/>
      <c r="AJ1073" s="54"/>
      <c r="AK1073" s="54"/>
      <c r="AL1073" s="54"/>
      <c r="AM1073" s="54"/>
      <c r="AN1073" s="54"/>
      <c r="AO1073" s="54"/>
      <c r="AP1073" s="54"/>
      <c r="AQ1073" s="54"/>
      <c r="AR1073" s="54"/>
      <c r="AS1073" s="54"/>
      <c r="AT1073" s="54"/>
      <c r="AU1073" s="54"/>
      <c r="AV1073" s="55"/>
    </row>
    <row r="1074" spans="1:48" s="13" customFormat="1" ht="18" customHeight="1" x14ac:dyDescent="0.25">
      <c r="B1074" s="53"/>
      <c r="C1074" s="54"/>
      <c r="D1074" s="54"/>
      <c r="E1074" s="54"/>
      <c r="F1074" s="54"/>
      <c r="G1074" s="54"/>
      <c r="H1074" s="54"/>
      <c r="I1074" s="54"/>
      <c r="J1074" s="54"/>
      <c r="K1074" s="54"/>
      <c r="L1074" s="67"/>
      <c r="M1074" s="54"/>
      <c r="N1074" s="67"/>
      <c r="O1074" s="67"/>
      <c r="P1074" s="26"/>
      <c r="Q1074" s="26"/>
      <c r="R1074" s="54"/>
      <c r="S1074" s="54"/>
      <c r="T1074" s="54"/>
      <c r="U1074" s="54"/>
      <c r="V1074" s="54"/>
      <c r="W1074" s="54"/>
      <c r="X1074" s="54"/>
      <c r="Y1074" s="54"/>
      <c r="Z1074" s="54"/>
      <c r="AA1074" s="54"/>
      <c r="AB1074" s="54"/>
      <c r="AC1074" s="54"/>
      <c r="AD1074" s="54"/>
      <c r="AE1074" s="54"/>
      <c r="AF1074" s="54"/>
      <c r="AG1074" s="54"/>
      <c r="AH1074" s="54"/>
      <c r="AI1074" s="54"/>
      <c r="AJ1074" s="54"/>
      <c r="AK1074" s="54"/>
      <c r="AL1074" s="54"/>
      <c r="AM1074" s="54"/>
      <c r="AN1074" s="54"/>
      <c r="AO1074" s="54"/>
      <c r="AP1074" s="54"/>
      <c r="AQ1074" s="54"/>
      <c r="AR1074" s="54"/>
      <c r="AS1074" s="54"/>
      <c r="AT1074" s="54"/>
      <c r="AU1074" s="54"/>
      <c r="AV1074" s="55"/>
    </row>
    <row r="1075" spans="1:48" s="13" customFormat="1" ht="18" customHeight="1" thickBot="1" x14ac:dyDescent="0.3">
      <c r="B1075" s="53"/>
      <c r="C1075" s="54"/>
      <c r="D1075" s="54"/>
      <c r="E1075" s="54"/>
      <c r="F1075" s="54"/>
      <c r="G1075" s="54"/>
      <c r="H1075" s="54"/>
      <c r="I1075" s="54"/>
      <c r="J1075" s="54"/>
      <c r="K1075" s="54"/>
      <c r="L1075" s="67"/>
      <c r="M1075" s="54"/>
      <c r="N1075" s="67"/>
      <c r="O1075" s="67"/>
      <c r="P1075" s="26"/>
      <c r="Q1075" s="26"/>
      <c r="R1075" s="54"/>
      <c r="S1075" s="54"/>
      <c r="T1075" s="54"/>
      <c r="U1075" s="54"/>
      <c r="V1075" s="54"/>
      <c r="W1075" s="54"/>
      <c r="X1075" s="54"/>
      <c r="Y1075" s="54"/>
      <c r="Z1075" s="54"/>
      <c r="AA1075" s="54"/>
      <c r="AB1075" s="54"/>
      <c r="AC1075" s="54"/>
      <c r="AD1075" s="54"/>
      <c r="AE1075" s="54"/>
      <c r="AF1075" s="54"/>
      <c r="AG1075" s="54"/>
      <c r="AH1075" s="54"/>
      <c r="AI1075" s="54"/>
      <c r="AJ1075" s="54"/>
      <c r="AK1075" s="54"/>
      <c r="AL1075" s="54"/>
      <c r="AM1075" s="54"/>
      <c r="AN1075" s="54"/>
      <c r="AO1075" s="54"/>
      <c r="AP1075" s="54"/>
      <c r="AQ1075" s="54"/>
      <c r="AR1075" s="54"/>
      <c r="AS1075" s="54"/>
      <c r="AT1075" s="54"/>
      <c r="AU1075" s="54"/>
      <c r="AV1075" s="55"/>
    </row>
    <row r="1076" spans="1:48" s="13" customFormat="1" ht="15.75" customHeight="1" x14ac:dyDescent="0.25">
      <c r="A1076" s="131"/>
      <c r="B1076" s="51"/>
      <c r="C1076" s="24"/>
      <c r="D1076" s="66"/>
      <c r="E1076" s="26"/>
      <c r="F1076" s="54"/>
      <c r="G1076" s="54"/>
      <c r="H1076" s="54"/>
      <c r="I1076" s="54"/>
      <c r="J1076" s="54"/>
      <c r="K1076" s="62" t="s">
        <v>84</v>
      </c>
      <c r="L1076" s="61" t="s">
        <v>85</v>
      </c>
      <c r="M1076" s="56"/>
      <c r="N1076" s="67"/>
      <c r="O1076" s="67"/>
      <c r="P1076" s="67"/>
      <c r="Q1076" s="76"/>
      <c r="R1076" s="76"/>
      <c r="S1076" s="76"/>
      <c r="T1076" s="76"/>
      <c r="U1076" s="76"/>
      <c r="V1076" s="54"/>
      <c r="W1076" s="54"/>
      <c r="X1076" s="54"/>
      <c r="Y1076" s="54"/>
      <c r="Z1076" s="54"/>
      <c r="AA1076" s="54"/>
      <c r="AB1076" s="54"/>
      <c r="AC1076" s="54"/>
      <c r="AD1076" s="54"/>
      <c r="AE1076" s="54"/>
      <c r="AF1076" s="54"/>
      <c r="AG1076" s="54"/>
      <c r="AH1076" s="54"/>
      <c r="AI1076" s="54"/>
      <c r="AJ1076" s="54"/>
      <c r="AK1076" s="54"/>
      <c r="AL1076" s="54"/>
      <c r="AM1076" s="54"/>
      <c r="AN1076" s="54"/>
      <c r="AO1076" s="54"/>
      <c r="AP1076" s="54"/>
      <c r="AQ1076" s="54"/>
      <c r="AR1076" s="54"/>
      <c r="AS1076" s="54"/>
      <c r="AT1076" s="54"/>
      <c r="AU1076" s="54"/>
      <c r="AV1076" s="55"/>
    </row>
    <row r="1077" spans="1:48" s="13" customFormat="1" ht="15.75" customHeight="1" x14ac:dyDescent="0.25">
      <c r="A1077" s="131"/>
      <c r="B1077" s="51"/>
      <c r="C1077" s="54"/>
      <c r="D1077" s="54"/>
      <c r="E1077" s="54"/>
      <c r="F1077" s="54"/>
      <c r="G1077" s="54"/>
      <c r="H1077" s="54"/>
      <c r="I1077" s="54"/>
      <c r="J1077" s="54"/>
      <c r="K1077" s="145" t="s">
        <v>15</v>
      </c>
      <c r="L1077" s="146">
        <v>1</v>
      </c>
      <c r="M1077" s="56"/>
      <c r="N1077" s="67"/>
      <c r="O1077" s="67"/>
      <c r="P1077" s="67"/>
      <c r="Q1077" s="76"/>
      <c r="R1077" s="76"/>
      <c r="S1077" s="76"/>
      <c r="T1077" s="76"/>
      <c r="U1077" s="76"/>
      <c r="V1077" s="54"/>
      <c r="W1077" s="54"/>
      <c r="X1077" s="54"/>
      <c r="Y1077" s="54"/>
      <c r="Z1077" s="54"/>
      <c r="AA1077" s="54"/>
      <c r="AB1077" s="54"/>
      <c r="AC1077" s="54"/>
      <c r="AD1077" s="54"/>
      <c r="AE1077" s="54"/>
      <c r="AF1077" s="54"/>
      <c r="AG1077" s="54"/>
      <c r="AH1077" s="54"/>
      <c r="AI1077" s="54"/>
      <c r="AJ1077" s="54"/>
      <c r="AK1077" s="54"/>
      <c r="AL1077" s="54"/>
      <c r="AM1077" s="54"/>
      <c r="AN1077" s="54"/>
      <c r="AO1077" s="54"/>
      <c r="AP1077" s="54"/>
      <c r="AQ1077" s="54"/>
      <c r="AR1077" s="54"/>
      <c r="AS1077" s="54"/>
      <c r="AT1077" s="54"/>
      <c r="AU1077" s="54"/>
      <c r="AV1077" s="55"/>
    </row>
    <row r="1078" spans="1:48" s="13" customFormat="1" ht="15.75" customHeight="1" x14ac:dyDescent="0.25">
      <c r="A1078" s="131"/>
      <c r="B1078" s="51"/>
      <c r="C1078" s="54"/>
      <c r="D1078" s="54"/>
      <c r="E1078" s="54"/>
      <c r="F1078" s="54"/>
      <c r="G1078" s="54"/>
      <c r="H1078" s="54"/>
      <c r="I1078" s="54"/>
      <c r="J1078" s="54"/>
      <c r="K1078" s="145" t="s">
        <v>46</v>
      </c>
      <c r="L1078" s="146">
        <v>2</v>
      </c>
      <c r="M1078" s="56"/>
      <c r="N1078" s="67"/>
      <c r="O1078" s="67"/>
      <c r="P1078" s="67"/>
      <c r="Q1078" s="76"/>
      <c r="R1078" s="76"/>
      <c r="S1078" s="76"/>
      <c r="T1078" s="76"/>
      <c r="U1078" s="76"/>
      <c r="V1078" s="54"/>
      <c r="W1078" s="54"/>
      <c r="X1078" s="54"/>
      <c r="Y1078" s="54"/>
      <c r="Z1078" s="54"/>
      <c r="AA1078" s="54"/>
      <c r="AB1078" s="54"/>
      <c r="AC1078" s="54"/>
      <c r="AD1078" s="54"/>
      <c r="AE1078" s="54"/>
      <c r="AF1078" s="54"/>
      <c r="AG1078" s="54"/>
      <c r="AH1078" s="54"/>
      <c r="AI1078" s="54"/>
      <c r="AJ1078" s="54"/>
      <c r="AK1078" s="54"/>
      <c r="AL1078" s="54"/>
      <c r="AM1078" s="54"/>
      <c r="AN1078" s="54"/>
      <c r="AO1078" s="54"/>
      <c r="AP1078" s="54"/>
      <c r="AQ1078" s="54"/>
      <c r="AR1078" s="54"/>
      <c r="AS1078" s="54"/>
      <c r="AT1078" s="54"/>
      <c r="AU1078" s="54"/>
      <c r="AV1078" s="55"/>
    </row>
    <row r="1079" spans="1:48" s="13" customFormat="1" ht="15.75" customHeight="1" x14ac:dyDescent="0.25">
      <c r="A1079" s="131"/>
      <c r="B1079" s="51"/>
      <c r="C1079" s="54"/>
      <c r="D1079" s="54"/>
      <c r="E1079" s="54"/>
      <c r="F1079" s="54"/>
      <c r="G1079" s="54"/>
      <c r="H1079" s="54"/>
      <c r="I1079" s="54"/>
      <c r="J1079" s="54"/>
      <c r="K1079" s="145" t="s">
        <v>47</v>
      </c>
      <c r="L1079" s="146">
        <v>3</v>
      </c>
      <c r="M1079" s="56"/>
      <c r="N1079" s="67"/>
      <c r="O1079" s="67"/>
      <c r="P1079" s="67"/>
      <c r="Q1079" s="76"/>
      <c r="R1079" s="76"/>
      <c r="S1079" s="76"/>
      <c r="T1079" s="76"/>
      <c r="U1079" s="76"/>
      <c r="V1079" s="54"/>
      <c r="W1079" s="54"/>
      <c r="X1079" s="54"/>
      <c r="Y1079" s="54"/>
      <c r="Z1079" s="54"/>
      <c r="AA1079" s="54"/>
      <c r="AB1079" s="54"/>
      <c r="AC1079" s="54"/>
      <c r="AD1079" s="54"/>
      <c r="AE1079" s="54"/>
      <c r="AF1079" s="54"/>
      <c r="AG1079" s="54"/>
      <c r="AH1079" s="54"/>
      <c r="AI1079" s="54"/>
      <c r="AJ1079" s="54"/>
      <c r="AK1079" s="54"/>
      <c r="AL1079" s="54"/>
      <c r="AM1079" s="54"/>
      <c r="AN1079" s="54"/>
      <c r="AO1079" s="54"/>
      <c r="AP1079" s="54"/>
      <c r="AQ1079" s="54"/>
      <c r="AR1079" s="54"/>
      <c r="AS1079" s="54"/>
      <c r="AT1079" s="54"/>
      <c r="AU1079" s="54"/>
      <c r="AV1079" s="55"/>
    </row>
    <row r="1080" spans="1:48" s="13" customFormat="1" ht="15.75" customHeight="1" x14ac:dyDescent="0.25">
      <c r="A1080" s="131"/>
      <c r="B1080" s="51"/>
      <c r="C1080" s="54"/>
      <c r="D1080" s="54"/>
      <c r="E1080" s="54"/>
      <c r="F1080" s="54"/>
      <c r="G1080" s="54"/>
      <c r="H1080" s="54"/>
      <c r="I1080" s="54"/>
      <c r="J1080" s="54"/>
      <c r="K1080" s="145" t="s">
        <v>45</v>
      </c>
      <c r="L1080" s="146">
        <v>4</v>
      </c>
      <c r="M1080" s="56"/>
      <c r="N1080" s="67"/>
      <c r="O1080" s="67"/>
      <c r="P1080" s="67"/>
      <c r="Q1080" s="76"/>
      <c r="R1080" s="76"/>
      <c r="S1080" s="76"/>
      <c r="T1080" s="76"/>
      <c r="U1080" s="76"/>
      <c r="V1080" s="54"/>
      <c r="W1080" s="54"/>
      <c r="X1080" s="54"/>
      <c r="Y1080" s="54"/>
      <c r="Z1080" s="54"/>
      <c r="AA1080" s="54"/>
      <c r="AB1080" s="54"/>
      <c r="AC1080" s="54"/>
      <c r="AD1080" s="54"/>
      <c r="AE1080" s="54"/>
      <c r="AF1080" s="54"/>
      <c r="AG1080" s="54"/>
      <c r="AH1080" s="54"/>
      <c r="AI1080" s="54"/>
      <c r="AJ1080" s="54"/>
      <c r="AK1080" s="54"/>
      <c r="AL1080" s="54"/>
      <c r="AM1080" s="54"/>
      <c r="AN1080" s="54"/>
      <c r="AO1080" s="54"/>
      <c r="AP1080" s="54"/>
      <c r="AQ1080" s="54"/>
      <c r="AR1080" s="54"/>
      <c r="AS1080" s="54"/>
      <c r="AT1080" s="54"/>
      <c r="AU1080" s="54"/>
      <c r="AV1080" s="55"/>
    </row>
    <row r="1081" spans="1:48" s="13" customFormat="1" ht="15.75" customHeight="1" thickBot="1" x14ac:dyDescent="0.3">
      <c r="A1081" s="131"/>
      <c r="B1081" s="51"/>
      <c r="C1081" s="54"/>
      <c r="D1081" s="54"/>
      <c r="E1081" s="54"/>
      <c r="F1081" s="54"/>
      <c r="G1081" s="54"/>
      <c r="H1081" s="54"/>
      <c r="I1081" s="54"/>
      <c r="J1081" s="54"/>
      <c r="K1081" s="147" t="s">
        <v>48</v>
      </c>
      <c r="L1081" s="148">
        <v>5</v>
      </c>
      <c r="M1081" s="56"/>
      <c r="N1081" s="67"/>
      <c r="O1081" s="67"/>
      <c r="P1081" s="67"/>
      <c r="Q1081" s="76"/>
      <c r="R1081" s="76"/>
      <c r="S1081" s="76"/>
      <c r="T1081" s="76"/>
      <c r="U1081" s="76"/>
      <c r="V1081" s="54"/>
      <c r="W1081" s="54"/>
      <c r="X1081" s="54"/>
      <c r="Y1081" s="54"/>
      <c r="Z1081" s="54"/>
      <c r="AA1081" s="54"/>
      <c r="AB1081" s="54"/>
      <c r="AC1081" s="54"/>
      <c r="AD1081" s="54"/>
      <c r="AE1081" s="54"/>
      <c r="AF1081" s="54"/>
      <c r="AG1081" s="54"/>
      <c r="AH1081" s="54"/>
      <c r="AI1081" s="54"/>
      <c r="AJ1081" s="54"/>
      <c r="AK1081" s="54"/>
      <c r="AL1081" s="54"/>
      <c r="AM1081" s="54"/>
      <c r="AN1081" s="54"/>
      <c r="AO1081" s="54"/>
      <c r="AP1081" s="54"/>
      <c r="AQ1081" s="54"/>
      <c r="AR1081" s="54"/>
      <c r="AS1081" s="54"/>
      <c r="AT1081" s="54"/>
      <c r="AU1081" s="54"/>
      <c r="AV1081" s="55"/>
    </row>
    <row r="1082" spans="1:48" s="13" customFormat="1" ht="15.75" customHeight="1" thickBot="1" x14ac:dyDescent="0.3">
      <c r="A1082" s="131"/>
      <c r="B1082" s="51"/>
      <c r="C1082" s="24"/>
      <c r="D1082" s="66"/>
      <c r="E1082" s="26"/>
      <c r="F1082" s="54"/>
      <c r="G1082" s="54"/>
      <c r="H1082" s="54"/>
      <c r="I1082" s="54"/>
      <c r="J1082" s="54"/>
      <c r="K1082" s="74"/>
      <c r="L1082" s="57"/>
      <c r="M1082" s="56"/>
      <c r="N1082" s="67"/>
      <c r="O1082" s="67"/>
      <c r="P1082" s="67"/>
      <c r="Q1082" s="76"/>
      <c r="R1082" s="76"/>
      <c r="S1082" s="76"/>
      <c r="T1082" s="76"/>
      <c r="U1082" s="76"/>
      <c r="V1082" s="54"/>
      <c r="W1082" s="54"/>
      <c r="X1082" s="54"/>
      <c r="Y1082" s="54"/>
      <c r="Z1082" s="54"/>
      <c r="AA1082" s="54"/>
      <c r="AB1082" s="54"/>
      <c r="AC1082" s="54"/>
      <c r="AD1082" s="54"/>
      <c r="AE1082" s="54"/>
      <c r="AF1082" s="54"/>
      <c r="AG1082" s="54"/>
      <c r="AH1082" s="54"/>
      <c r="AI1082" s="54"/>
      <c r="AJ1082" s="54"/>
      <c r="AK1082" s="54"/>
      <c r="AL1082" s="54"/>
      <c r="AM1082" s="54"/>
      <c r="AN1082" s="54"/>
      <c r="AO1082" s="54"/>
      <c r="AP1082" s="54"/>
      <c r="AQ1082" s="54"/>
      <c r="AR1082" s="54"/>
      <c r="AS1082" s="54"/>
      <c r="AT1082" s="54"/>
      <c r="AU1082" s="54"/>
      <c r="AV1082" s="55"/>
    </row>
    <row r="1083" spans="1:48" s="13" customFormat="1" ht="15.75" customHeight="1" thickBot="1" x14ac:dyDescent="0.3">
      <c r="A1083" s="131"/>
      <c r="B1083" s="51"/>
      <c r="C1083" s="24"/>
      <c r="D1083" s="672" t="s">
        <v>85</v>
      </c>
      <c r="E1083" s="673"/>
      <c r="F1083" s="673"/>
      <c r="G1083" s="673"/>
      <c r="H1083" s="673"/>
      <c r="I1083" s="674"/>
      <c r="J1083" s="67"/>
      <c r="K1083" s="56"/>
      <c r="L1083" s="56"/>
      <c r="M1083" s="56"/>
      <c r="N1083" s="67"/>
      <c r="O1083" s="67"/>
      <c r="P1083" s="67"/>
      <c r="Q1083" s="76"/>
      <c r="R1083" s="76"/>
      <c r="S1083" s="76"/>
      <c r="T1083" s="76"/>
      <c r="U1083" s="76"/>
      <c r="V1083" s="54"/>
      <c r="W1083" s="54"/>
      <c r="X1083" s="54"/>
      <c r="Y1083" s="54"/>
      <c r="Z1083" s="54"/>
      <c r="AA1083" s="54"/>
      <c r="AB1083" s="54"/>
      <c r="AC1083" s="54"/>
      <c r="AD1083" s="54"/>
      <c r="AE1083" s="54"/>
      <c r="AF1083" s="54"/>
      <c r="AG1083" s="54"/>
      <c r="AH1083" s="54"/>
      <c r="AI1083" s="54"/>
      <c r="AJ1083" s="54"/>
      <c r="AK1083" s="54"/>
      <c r="AL1083" s="54"/>
      <c r="AM1083" s="54"/>
      <c r="AN1083" s="54"/>
      <c r="AO1083" s="54"/>
      <c r="AP1083" s="54"/>
      <c r="AQ1083" s="54"/>
      <c r="AR1083" s="54"/>
      <c r="AS1083" s="54"/>
      <c r="AT1083" s="54"/>
      <c r="AU1083" s="54"/>
      <c r="AV1083" s="55"/>
    </row>
    <row r="1084" spans="1:48" ht="22.5" customHeight="1" thickBot="1" x14ac:dyDescent="0.3">
      <c r="B1084" s="64"/>
      <c r="C1084" s="83" t="s">
        <v>84</v>
      </c>
      <c r="D1084" s="80" t="s">
        <v>76</v>
      </c>
      <c r="E1084" s="60" t="s">
        <v>80</v>
      </c>
      <c r="F1084" s="60" t="s">
        <v>78</v>
      </c>
      <c r="G1084" s="60" t="s">
        <v>79</v>
      </c>
      <c r="H1084" s="60" t="s">
        <v>83</v>
      </c>
      <c r="I1084" s="84" t="s">
        <v>89</v>
      </c>
      <c r="J1084" s="67"/>
      <c r="K1084" s="149">
        <v>1</v>
      </c>
      <c r="L1084" s="150">
        <v>2</v>
      </c>
      <c r="M1084" s="150">
        <v>3</v>
      </c>
      <c r="N1084" s="150">
        <v>4</v>
      </c>
      <c r="O1084" s="150">
        <v>5</v>
      </c>
      <c r="P1084" s="150">
        <v>6</v>
      </c>
      <c r="Q1084" s="150">
        <v>7</v>
      </c>
      <c r="R1084" s="150">
        <v>8</v>
      </c>
      <c r="S1084" s="150">
        <v>9</v>
      </c>
      <c r="T1084" s="150">
        <v>10</v>
      </c>
      <c r="U1084" s="150">
        <v>11</v>
      </c>
      <c r="V1084" s="150">
        <v>12</v>
      </c>
      <c r="W1084" s="150">
        <v>13</v>
      </c>
      <c r="X1084" s="150">
        <v>14</v>
      </c>
      <c r="Y1084" s="150">
        <v>15</v>
      </c>
      <c r="Z1084" s="150">
        <v>16</v>
      </c>
      <c r="AA1084" s="150">
        <v>17</v>
      </c>
      <c r="AB1084" s="150">
        <v>18</v>
      </c>
      <c r="AC1084" s="150">
        <v>19</v>
      </c>
      <c r="AD1084" s="150">
        <v>20</v>
      </c>
      <c r="AE1084" s="150">
        <v>21</v>
      </c>
      <c r="AF1084" s="150">
        <v>22</v>
      </c>
      <c r="AG1084" s="150">
        <v>23</v>
      </c>
      <c r="AH1084" s="150">
        <v>24</v>
      </c>
      <c r="AI1084" s="150">
        <v>25</v>
      </c>
      <c r="AJ1084" s="150">
        <v>26</v>
      </c>
      <c r="AK1084" s="150">
        <v>27</v>
      </c>
      <c r="AL1084" s="150">
        <v>28</v>
      </c>
      <c r="AM1084" s="150">
        <v>29</v>
      </c>
      <c r="AN1084" s="150">
        <v>30</v>
      </c>
      <c r="AO1084" s="150">
        <v>31</v>
      </c>
      <c r="AP1084" s="150">
        <v>32</v>
      </c>
      <c r="AQ1084" s="150">
        <v>33</v>
      </c>
      <c r="AR1084" s="150">
        <v>34</v>
      </c>
      <c r="AS1084" s="150">
        <v>35</v>
      </c>
      <c r="AT1084" s="151">
        <v>36</v>
      </c>
      <c r="AU1084" s="26"/>
      <c r="AV1084" s="27"/>
    </row>
    <row r="1085" spans="1:48" s="13" customFormat="1" ht="18" customHeight="1" x14ac:dyDescent="0.2">
      <c r="B1085" s="64"/>
      <c r="C1085" s="58" t="s">
        <v>81</v>
      </c>
      <c r="D1085" s="111" t="s">
        <v>41</v>
      </c>
      <c r="E1085" s="112" t="s">
        <v>42</v>
      </c>
      <c r="F1085" s="112" t="s">
        <v>42</v>
      </c>
      <c r="G1085" s="113" t="s">
        <v>77</v>
      </c>
      <c r="H1085" s="114" t="s">
        <v>77</v>
      </c>
      <c r="I1085" s="109"/>
      <c r="J1085" s="54"/>
      <c r="K1085" s="152" t="s">
        <v>16</v>
      </c>
      <c r="L1085" s="153" t="s">
        <v>17</v>
      </c>
      <c r="M1085" s="154" t="s">
        <v>18</v>
      </c>
      <c r="N1085" s="153" t="s">
        <v>19</v>
      </c>
      <c r="O1085" s="153" t="s">
        <v>20</v>
      </c>
      <c r="P1085" s="153" t="s">
        <v>21</v>
      </c>
      <c r="Q1085" s="153" t="s">
        <v>22</v>
      </c>
      <c r="R1085" s="153" t="s">
        <v>23</v>
      </c>
      <c r="S1085" s="153" t="s">
        <v>24</v>
      </c>
      <c r="T1085" s="153" t="s">
        <v>25</v>
      </c>
      <c r="U1085" s="153" t="s">
        <v>26</v>
      </c>
      <c r="V1085" s="153" t="s">
        <v>27</v>
      </c>
      <c r="W1085" s="153" t="s">
        <v>28</v>
      </c>
      <c r="X1085" s="153" t="s">
        <v>29</v>
      </c>
      <c r="Y1085" s="153" t="s">
        <v>30</v>
      </c>
      <c r="Z1085" s="153" t="s">
        <v>31</v>
      </c>
      <c r="AA1085" s="153" t="s">
        <v>32</v>
      </c>
      <c r="AB1085" s="153" t="s">
        <v>33</v>
      </c>
      <c r="AC1085" s="153" t="s">
        <v>34</v>
      </c>
      <c r="AD1085" s="153" t="s">
        <v>35</v>
      </c>
      <c r="AE1085" s="153" t="s">
        <v>36</v>
      </c>
      <c r="AF1085" s="153" t="s">
        <v>37</v>
      </c>
      <c r="AG1085" s="153" t="s">
        <v>38</v>
      </c>
      <c r="AH1085" s="153" t="s">
        <v>39</v>
      </c>
      <c r="AI1085" s="153" t="s">
        <v>40</v>
      </c>
      <c r="AJ1085" s="155" t="s">
        <v>90</v>
      </c>
      <c r="AK1085" s="156" t="s">
        <v>92</v>
      </c>
      <c r="AL1085" s="156" t="s">
        <v>93</v>
      </c>
      <c r="AM1085" s="156" t="s">
        <v>94</v>
      </c>
      <c r="AN1085" s="156" t="s">
        <v>95</v>
      </c>
      <c r="AO1085" s="156" t="s">
        <v>96</v>
      </c>
      <c r="AP1085" s="156" t="s">
        <v>97</v>
      </c>
      <c r="AQ1085" s="156" t="s">
        <v>98</v>
      </c>
      <c r="AR1085" s="156" t="s">
        <v>99</v>
      </c>
      <c r="AS1085" s="156" t="s">
        <v>100</v>
      </c>
      <c r="AT1085" s="157" t="s">
        <v>101</v>
      </c>
      <c r="AU1085" s="54"/>
      <c r="AV1085" s="55"/>
    </row>
    <row r="1086" spans="1:48" s="6" customFormat="1" ht="18" customHeight="1" x14ac:dyDescent="0.25">
      <c r="B1086" s="64"/>
      <c r="C1086" s="58" t="s">
        <v>87</v>
      </c>
      <c r="D1086" s="86" t="s">
        <v>41</v>
      </c>
      <c r="E1086" s="87" t="s">
        <v>41</v>
      </c>
      <c r="F1086" s="85" t="s">
        <v>42</v>
      </c>
      <c r="G1086" s="85" t="s">
        <v>42</v>
      </c>
      <c r="H1086" s="115" t="s">
        <v>77</v>
      </c>
      <c r="I1086" s="110"/>
      <c r="J1086" s="25"/>
      <c r="K1086" s="152" t="s">
        <v>41</v>
      </c>
      <c r="L1086" s="153" t="s">
        <v>42</v>
      </c>
      <c r="M1086" s="154" t="s">
        <v>42</v>
      </c>
      <c r="N1086" s="154" t="s">
        <v>43</v>
      </c>
      <c r="O1086" s="154" t="s">
        <v>43</v>
      </c>
      <c r="P1086" s="154" t="s">
        <v>41</v>
      </c>
      <c r="Q1086" s="154" t="s">
        <v>41</v>
      </c>
      <c r="R1086" s="154" t="s">
        <v>42</v>
      </c>
      <c r="S1086" s="154" t="s">
        <v>42</v>
      </c>
      <c r="T1086" s="154" t="s">
        <v>43</v>
      </c>
      <c r="U1086" s="154" t="s">
        <v>44</v>
      </c>
      <c r="V1086" s="154" t="s">
        <v>41</v>
      </c>
      <c r="W1086" s="154" t="s">
        <v>42</v>
      </c>
      <c r="X1086" s="154" t="s">
        <v>42</v>
      </c>
      <c r="Y1086" s="154" t="s">
        <v>42</v>
      </c>
      <c r="Z1086" s="154" t="s">
        <v>44</v>
      </c>
      <c r="AA1086" s="154" t="s">
        <v>44</v>
      </c>
      <c r="AB1086" s="154" t="s">
        <v>41</v>
      </c>
      <c r="AC1086" s="154" t="s">
        <v>41</v>
      </c>
      <c r="AD1086" s="154" t="s">
        <v>42</v>
      </c>
      <c r="AE1086" s="154" t="s">
        <v>44</v>
      </c>
      <c r="AF1086" s="154" t="s">
        <v>44</v>
      </c>
      <c r="AG1086" s="154" t="s">
        <v>41</v>
      </c>
      <c r="AH1086" s="154" t="s">
        <v>41</v>
      </c>
      <c r="AI1086" s="154" t="s">
        <v>42</v>
      </c>
      <c r="AJ1086" s="154" t="s">
        <v>91</v>
      </c>
      <c r="AK1086" s="154" t="s">
        <v>91</v>
      </c>
      <c r="AL1086" s="154" t="s">
        <v>91</v>
      </c>
      <c r="AM1086" s="154" t="s">
        <v>91</v>
      </c>
      <c r="AN1086" s="154" t="s">
        <v>91</v>
      </c>
      <c r="AO1086" s="154" t="s">
        <v>91</v>
      </c>
      <c r="AP1086" s="154" t="s">
        <v>91</v>
      </c>
      <c r="AQ1086" s="154" t="s">
        <v>91</v>
      </c>
      <c r="AR1086" s="154" t="s">
        <v>91</v>
      </c>
      <c r="AS1086" s="154" t="s">
        <v>91</v>
      </c>
      <c r="AT1086" s="158" t="s">
        <v>91</v>
      </c>
      <c r="AU1086" s="25"/>
      <c r="AV1086" s="78"/>
    </row>
    <row r="1087" spans="1:48" s="13" customFormat="1" ht="18" customHeight="1" thickBot="1" x14ac:dyDescent="0.25">
      <c r="B1087" s="64"/>
      <c r="C1087" s="58" t="s">
        <v>88</v>
      </c>
      <c r="D1087" s="82" t="s">
        <v>44</v>
      </c>
      <c r="E1087" s="87" t="s">
        <v>41</v>
      </c>
      <c r="F1087" s="85" t="s">
        <v>42</v>
      </c>
      <c r="G1087" s="85" t="s">
        <v>42</v>
      </c>
      <c r="H1087" s="116" t="s">
        <v>42</v>
      </c>
      <c r="I1087" s="109"/>
      <c r="J1087" s="67"/>
      <c r="K1087" s="159">
        <v>3</v>
      </c>
      <c r="L1087" s="160">
        <v>2</v>
      </c>
      <c r="M1087" s="161">
        <v>2</v>
      </c>
      <c r="N1087" s="161">
        <v>1</v>
      </c>
      <c r="O1087" s="161">
        <v>1</v>
      </c>
      <c r="P1087" s="161">
        <v>3</v>
      </c>
      <c r="Q1087" s="161">
        <v>3</v>
      </c>
      <c r="R1087" s="161">
        <v>2</v>
      </c>
      <c r="S1087" s="161">
        <v>2</v>
      </c>
      <c r="T1087" s="161">
        <v>1</v>
      </c>
      <c r="U1087" s="161">
        <v>4</v>
      </c>
      <c r="V1087" s="161">
        <v>3</v>
      </c>
      <c r="W1087" s="161">
        <v>2</v>
      </c>
      <c r="X1087" s="161">
        <v>2</v>
      </c>
      <c r="Y1087" s="161">
        <v>2</v>
      </c>
      <c r="Z1087" s="161">
        <v>4</v>
      </c>
      <c r="AA1087" s="161">
        <v>4</v>
      </c>
      <c r="AB1087" s="161">
        <v>3</v>
      </c>
      <c r="AC1087" s="161">
        <v>3</v>
      </c>
      <c r="AD1087" s="161">
        <v>2</v>
      </c>
      <c r="AE1087" s="161">
        <v>4</v>
      </c>
      <c r="AF1087" s="161">
        <v>4</v>
      </c>
      <c r="AG1087" s="161">
        <v>3</v>
      </c>
      <c r="AH1087" s="161">
        <v>3</v>
      </c>
      <c r="AI1087" s="161">
        <v>2</v>
      </c>
      <c r="AJ1087" s="162" t="s">
        <v>102</v>
      </c>
      <c r="AK1087" s="162" t="s">
        <v>102</v>
      </c>
      <c r="AL1087" s="162" t="s">
        <v>102</v>
      </c>
      <c r="AM1087" s="162" t="s">
        <v>102</v>
      </c>
      <c r="AN1087" s="162" t="s">
        <v>102</v>
      </c>
      <c r="AO1087" s="162" t="s">
        <v>102</v>
      </c>
      <c r="AP1087" s="162" t="s">
        <v>102</v>
      </c>
      <c r="AQ1087" s="162" t="s">
        <v>102</v>
      </c>
      <c r="AR1087" s="162" t="s">
        <v>102</v>
      </c>
      <c r="AS1087" s="162" t="s">
        <v>102</v>
      </c>
      <c r="AT1087" s="163" t="s">
        <v>102</v>
      </c>
      <c r="AU1087" s="54"/>
      <c r="AV1087" s="55"/>
    </row>
    <row r="1088" spans="1:48" s="13" customFormat="1" ht="18" customHeight="1" x14ac:dyDescent="0.2">
      <c r="B1088" s="64"/>
      <c r="C1088" s="58" t="s">
        <v>82</v>
      </c>
      <c r="D1088" s="82" t="s">
        <v>44</v>
      </c>
      <c r="E1088" s="81" t="s">
        <v>44</v>
      </c>
      <c r="F1088" s="87" t="s">
        <v>41</v>
      </c>
      <c r="G1088" s="87" t="s">
        <v>41</v>
      </c>
      <c r="H1088" s="116" t="s">
        <v>42</v>
      </c>
      <c r="I1088" s="109"/>
      <c r="J1088" s="67"/>
      <c r="K1088" s="67"/>
      <c r="L1088" s="67"/>
      <c r="M1088" s="67"/>
      <c r="N1088" s="67"/>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c r="AJ1088" s="54"/>
      <c r="AK1088" s="54"/>
      <c r="AL1088" s="54"/>
      <c r="AM1088" s="54"/>
      <c r="AN1088" s="54"/>
      <c r="AO1088" s="54"/>
      <c r="AP1088" s="54"/>
      <c r="AQ1088" s="54"/>
      <c r="AR1088" s="54"/>
      <c r="AS1088" s="54"/>
      <c r="AT1088" s="54"/>
      <c r="AU1088" s="54"/>
      <c r="AV1088" s="55"/>
    </row>
    <row r="1089" spans="1:49" s="13" customFormat="1" ht="16.5" customHeight="1" thickBot="1" x14ac:dyDescent="0.3">
      <c r="A1089" s="131"/>
      <c r="B1089" s="64"/>
      <c r="C1089" s="58" t="s">
        <v>86</v>
      </c>
      <c r="D1089" s="117" t="s">
        <v>44</v>
      </c>
      <c r="E1089" s="118" t="s">
        <v>44</v>
      </c>
      <c r="F1089" s="119" t="s">
        <v>41</v>
      </c>
      <c r="G1089" s="119" t="s">
        <v>41</v>
      </c>
      <c r="H1089" s="120" t="s">
        <v>42</v>
      </c>
      <c r="I1089" s="109"/>
      <c r="J1089" s="67"/>
      <c r="K1089" s="67"/>
      <c r="L1089" s="67"/>
      <c r="M1089" s="67"/>
      <c r="N1089" s="67"/>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c r="AJ1089" s="54"/>
      <c r="AK1089" s="54"/>
      <c r="AL1089" s="54"/>
      <c r="AM1089" s="54"/>
      <c r="AN1089" s="54"/>
      <c r="AO1089" s="54"/>
      <c r="AP1089" s="54"/>
      <c r="AQ1089" s="54"/>
      <c r="AR1089" s="54"/>
      <c r="AS1089" s="54"/>
      <c r="AT1089" s="54"/>
      <c r="AU1089" s="54"/>
      <c r="AV1089" s="55"/>
    </row>
    <row r="1090" spans="1:49" s="13" customFormat="1" ht="16.5" customHeight="1" thickBot="1" x14ac:dyDescent="0.3">
      <c r="A1090" s="131"/>
      <c r="B1090" s="53"/>
      <c r="C1090" s="59" t="s">
        <v>89</v>
      </c>
      <c r="D1090" s="106"/>
      <c r="E1090" s="107"/>
      <c r="F1090" s="107"/>
      <c r="G1090" s="107"/>
      <c r="H1090" s="107"/>
      <c r="I1090" s="108"/>
      <c r="J1090" s="67"/>
      <c r="K1090" s="67"/>
      <c r="L1090" s="67"/>
      <c r="M1090" s="67"/>
      <c r="N1090" s="67"/>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c r="AJ1090" s="54"/>
      <c r="AK1090" s="54"/>
      <c r="AL1090" s="54"/>
      <c r="AM1090" s="54"/>
      <c r="AN1090" s="54"/>
      <c r="AO1090" s="54"/>
      <c r="AP1090" s="54"/>
      <c r="AQ1090" s="54"/>
      <c r="AR1090" s="54"/>
      <c r="AS1090" s="54"/>
      <c r="AT1090" s="54"/>
      <c r="AU1090" s="54"/>
      <c r="AV1090" s="55"/>
    </row>
    <row r="1091" spans="1:49" s="13" customFormat="1" ht="16.5" customHeight="1" x14ac:dyDescent="0.25">
      <c r="A1091" s="131"/>
      <c r="B1091" s="53"/>
      <c r="C1091" s="54"/>
      <c r="D1091" s="54"/>
      <c r="E1091" s="54"/>
      <c r="F1091" s="54"/>
      <c r="G1091" s="54"/>
      <c r="H1091" s="54"/>
      <c r="I1091" s="67"/>
      <c r="J1091" s="67"/>
      <c r="K1091" s="67"/>
      <c r="L1091" s="67"/>
      <c r="M1091" s="67"/>
      <c r="N1091" s="67"/>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c r="AJ1091" s="54"/>
      <c r="AK1091" s="54"/>
      <c r="AL1091" s="54"/>
      <c r="AM1091" s="54"/>
      <c r="AN1091" s="54"/>
      <c r="AO1091" s="54"/>
      <c r="AP1091" s="54"/>
      <c r="AQ1091" s="54"/>
      <c r="AR1091" s="54"/>
      <c r="AS1091" s="54"/>
      <c r="AT1091" s="54"/>
      <c r="AU1091" s="54"/>
      <c r="AV1091" s="55"/>
    </row>
    <row r="1092" spans="1:49" s="13" customFormat="1" ht="16.5" customHeight="1" x14ac:dyDescent="0.35">
      <c r="A1092" s="131"/>
      <c r="B1092" s="51"/>
      <c r="C1092" s="122" t="s">
        <v>120</v>
      </c>
      <c r="D1092" s="675" t="s">
        <v>84</v>
      </c>
      <c r="E1092" s="675"/>
      <c r="F1092" s="135" t="s">
        <v>261</v>
      </c>
      <c r="G1092" s="675" t="s">
        <v>85</v>
      </c>
      <c r="H1092" s="675"/>
      <c r="I1092" s="135" t="s">
        <v>262</v>
      </c>
      <c r="J1092" s="164" t="s">
        <v>4</v>
      </c>
      <c r="K1092" s="73"/>
      <c r="L1092" s="67"/>
      <c r="M1092" s="67"/>
      <c r="N1092" s="67"/>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c r="AJ1092" s="54"/>
      <c r="AK1092" s="54"/>
      <c r="AL1092" s="54"/>
      <c r="AM1092" s="54"/>
      <c r="AN1092" s="54"/>
      <c r="AO1092" s="54"/>
      <c r="AP1092" s="54"/>
      <c r="AQ1092" s="54"/>
      <c r="AR1092" s="54"/>
      <c r="AS1092" s="54"/>
      <c r="AT1092" s="54"/>
      <c r="AU1092" s="54"/>
      <c r="AV1092" s="55"/>
    </row>
    <row r="1093" spans="1:49" ht="18" customHeight="1" x14ac:dyDescent="0.25">
      <c r="B1093" s="32"/>
      <c r="C1093" s="205" t="s">
        <v>205</v>
      </c>
      <c r="D1093" s="676" t="s">
        <v>86</v>
      </c>
      <c r="E1093" s="676"/>
      <c r="F1093" s="134"/>
      <c r="G1093" s="676" t="s">
        <v>79</v>
      </c>
      <c r="H1093" s="676"/>
      <c r="I1093" s="104" t="str">
        <f t="shared" ref="I1093:I1106" si="144">MID(D1093,1,1)&amp;MID(G1093,1,1)</f>
        <v>E4</v>
      </c>
      <c r="J1093" s="144" t="str">
        <f t="shared" ref="J1093:J1106" si="145">LOOKUP(MATCH(I1093,$K$1085:$AT$1085,0),$K$1084:$AT$1084,$K$1086:$AT$1086)</f>
        <v>Medio</v>
      </c>
      <c r="K1093" s="105">
        <f t="shared" ref="K1093:K1106" si="146">LOOKUP(MATCH(I1093,$K$1085:$AT$1085,0),$K$1084:$AT$1084,$K$1087:$AT$1087)</f>
        <v>3</v>
      </c>
      <c r="L1093" s="67"/>
      <c r="M1093" s="67"/>
      <c r="N1093" s="67"/>
      <c r="O1093" s="26"/>
      <c r="P1093" s="26"/>
      <c r="Q1093" s="26"/>
      <c r="R1093" s="26"/>
      <c r="S1093" s="26"/>
      <c r="T1093" s="26"/>
      <c r="U1093" s="26"/>
      <c r="V1093" s="54"/>
      <c r="W1093" s="54"/>
      <c r="X1093" s="54"/>
      <c r="Y1093" s="26"/>
      <c r="Z1093" s="26"/>
      <c r="AA1093" s="26"/>
      <c r="AB1093" s="26"/>
      <c r="AC1093" s="26"/>
      <c r="AD1093" s="26"/>
      <c r="AE1093" s="26"/>
      <c r="AF1093" s="26"/>
      <c r="AG1093" s="26"/>
      <c r="AH1093" s="26"/>
      <c r="AI1093" s="26"/>
      <c r="AJ1093" s="26"/>
      <c r="AK1093" s="26"/>
      <c r="AL1093" s="26"/>
      <c r="AM1093" s="26"/>
      <c r="AN1093" s="26"/>
      <c r="AO1093" s="26"/>
      <c r="AP1093" s="26"/>
      <c r="AQ1093" s="26"/>
      <c r="AR1093" s="26"/>
      <c r="AS1093" s="26"/>
      <c r="AT1093" s="26"/>
      <c r="AU1093" s="26"/>
      <c r="AV1093" s="27"/>
    </row>
    <row r="1094" spans="1:49" ht="18.75" customHeight="1" x14ac:dyDescent="0.25">
      <c r="B1094" s="32"/>
      <c r="C1094" s="205" t="s">
        <v>128</v>
      </c>
      <c r="D1094" s="676" t="s">
        <v>87</v>
      </c>
      <c r="E1094" s="676"/>
      <c r="F1094" s="134"/>
      <c r="G1094" s="676" t="s">
        <v>79</v>
      </c>
      <c r="H1094" s="676"/>
      <c r="I1094" s="103" t="str">
        <f t="shared" si="144"/>
        <v>B4</v>
      </c>
      <c r="J1094" s="144" t="str">
        <f t="shared" si="145"/>
        <v>Alto</v>
      </c>
      <c r="K1094" s="105">
        <f t="shared" si="146"/>
        <v>2</v>
      </c>
      <c r="L1094" s="67"/>
      <c r="M1094" s="67"/>
      <c r="N1094" s="67"/>
      <c r="O1094" s="26"/>
      <c r="P1094" s="26"/>
      <c r="Q1094" s="26"/>
      <c r="R1094" s="26"/>
      <c r="S1094" s="26"/>
      <c r="T1094" s="26"/>
      <c r="U1094" s="26"/>
      <c r="V1094" s="54"/>
      <c r="W1094" s="54"/>
      <c r="X1094" s="54"/>
      <c r="Y1094" s="26"/>
      <c r="Z1094" s="26"/>
      <c r="AA1094" s="26"/>
      <c r="AB1094" s="26"/>
      <c r="AC1094" s="26"/>
      <c r="AD1094" s="26"/>
      <c r="AE1094" s="26"/>
      <c r="AF1094" s="26"/>
      <c r="AG1094" s="26"/>
      <c r="AH1094" s="26"/>
      <c r="AI1094" s="26"/>
      <c r="AJ1094" s="26"/>
      <c r="AK1094" s="26"/>
      <c r="AL1094" s="26"/>
      <c r="AM1094" s="26"/>
      <c r="AN1094" s="26"/>
      <c r="AO1094" s="26"/>
      <c r="AP1094" s="26"/>
      <c r="AQ1094" s="26"/>
      <c r="AR1094" s="26"/>
      <c r="AS1094" s="26"/>
      <c r="AT1094" s="26"/>
      <c r="AU1094" s="26"/>
      <c r="AV1094" s="27"/>
    </row>
    <row r="1095" spans="1:49" ht="18.75" customHeight="1" x14ac:dyDescent="0.25">
      <c r="B1095" s="32"/>
      <c r="C1095" s="205" t="s">
        <v>206</v>
      </c>
      <c r="D1095" s="676" t="s">
        <v>88</v>
      </c>
      <c r="E1095" s="676"/>
      <c r="F1095" s="134"/>
      <c r="G1095" s="676" t="s">
        <v>78</v>
      </c>
      <c r="H1095" s="676"/>
      <c r="I1095" s="103" t="str">
        <f t="shared" si="144"/>
        <v>C3</v>
      </c>
      <c r="J1095" s="144" t="str">
        <f t="shared" si="145"/>
        <v>Alto</v>
      </c>
      <c r="K1095" s="105">
        <f t="shared" si="146"/>
        <v>2</v>
      </c>
      <c r="L1095" s="67"/>
      <c r="M1095" s="67"/>
      <c r="N1095" s="67"/>
      <c r="O1095" s="26"/>
      <c r="P1095" s="26"/>
      <c r="Q1095" s="26"/>
      <c r="R1095" s="26"/>
      <c r="S1095" s="26"/>
      <c r="T1095" s="26"/>
      <c r="U1095" s="26"/>
      <c r="V1095" s="54"/>
      <c r="W1095" s="54"/>
      <c r="X1095" s="54"/>
      <c r="Y1095" s="26"/>
      <c r="Z1095" s="26"/>
      <c r="AA1095" s="26"/>
      <c r="AB1095" s="26"/>
      <c r="AC1095" s="26"/>
      <c r="AD1095" s="26"/>
      <c r="AE1095" s="26"/>
      <c r="AF1095" s="26"/>
      <c r="AG1095" s="26"/>
      <c r="AH1095" s="26"/>
      <c r="AI1095" s="26"/>
      <c r="AJ1095" s="26"/>
      <c r="AK1095" s="26"/>
      <c r="AL1095" s="26"/>
      <c r="AM1095" s="26"/>
      <c r="AN1095" s="26"/>
      <c r="AO1095" s="26"/>
      <c r="AP1095" s="26"/>
      <c r="AQ1095" s="26"/>
      <c r="AR1095" s="26"/>
      <c r="AS1095" s="26"/>
      <c r="AT1095" s="26"/>
      <c r="AU1095" s="26"/>
      <c r="AV1095" s="27"/>
    </row>
    <row r="1096" spans="1:49" ht="18.75" customHeight="1" x14ac:dyDescent="0.25">
      <c r="B1096" s="32"/>
      <c r="C1096" s="205" t="s">
        <v>121</v>
      </c>
      <c r="D1096" s="676" t="s">
        <v>82</v>
      </c>
      <c r="E1096" s="676"/>
      <c r="F1096" s="134"/>
      <c r="G1096" s="676" t="s">
        <v>79</v>
      </c>
      <c r="H1096" s="676"/>
      <c r="I1096" s="103" t="str">
        <f t="shared" si="144"/>
        <v>D4</v>
      </c>
      <c r="J1096" s="144" t="str">
        <f t="shared" si="145"/>
        <v>Medio</v>
      </c>
      <c r="K1096" s="105">
        <f t="shared" si="146"/>
        <v>3</v>
      </c>
      <c r="L1096" s="67"/>
      <c r="M1096" s="67"/>
      <c r="N1096" s="67"/>
      <c r="O1096" s="26"/>
      <c r="P1096" s="26"/>
      <c r="Q1096" s="26"/>
      <c r="R1096" s="26"/>
      <c r="S1096" s="26"/>
      <c r="T1096" s="26"/>
      <c r="U1096" s="26"/>
      <c r="V1096" s="54"/>
      <c r="W1096" s="54"/>
      <c r="X1096" s="54"/>
      <c r="Y1096" s="77"/>
      <c r="Z1096" s="77"/>
      <c r="AA1096" s="25"/>
      <c r="AB1096" s="25"/>
      <c r="AC1096" s="25"/>
      <c r="AD1096" s="25"/>
      <c r="AE1096" s="25"/>
      <c r="AF1096" s="25"/>
      <c r="AG1096" s="25"/>
      <c r="AH1096" s="25"/>
      <c r="AI1096" s="25"/>
      <c r="AJ1096" s="25"/>
      <c r="AK1096" s="25"/>
      <c r="AL1096" s="25"/>
      <c r="AM1096" s="25"/>
      <c r="AN1096" s="25"/>
      <c r="AO1096" s="25"/>
      <c r="AP1096" s="25"/>
      <c r="AQ1096" s="25"/>
      <c r="AR1096" s="25"/>
      <c r="AS1096" s="25"/>
      <c r="AT1096" s="25"/>
      <c r="AU1096" s="25"/>
      <c r="AV1096" s="78"/>
      <c r="AW1096" s="6"/>
    </row>
    <row r="1097" spans="1:49" ht="18.75" customHeight="1" x14ac:dyDescent="0.25">
      <c r="B1097" s="32"/>
      <c r="C1097" s="205" t="s">
        <v>122</v>
      </c>
      <c r="D1097" s="676" t="s">
        <v>82</v>
      </c>
      <c r="E1097" s="676"/>
      <c r="F1097" s="134"/>
      <c r="G1097" s="676" t="s">
        <v>78</v>
      </c>
      <c r="H1097" s="676"/>
      <c r="I1097" s="103" t="str">
        <f t="shared" si="144"/>
        <v>D3</v>
      </c>
      <c r="J1097" s="144" t="str">
        <f t="shared" si="145"/>
        <v>Medio</v>
      </c>
      <c r="K1097" s="105">
        <f t="shared" si="146"/>
        <v>3</v>
      </c>
      <c r="L1097" s="67"/>
      <c r="M1097" s="67"/>
      <c r="N1097" s="67"/>
      <c r="O1097" s="26"/>
      <c r="P1097" s="26"/>
      <c r="Q1097" s="26"/>
      <c r="R1097" s="26"/>
      <c r="S1097" s="26"/>
      <c r="T1097" s="26"/>
      <c r="U1097" s="26"/>
      <c r="V1097" s="54"/>
      <c r="W1097" s="54"/>
      <c r="X1097" s="54"/>
      <c r="Y1097" s="77"/>
      <c r="Z1097" s="77"/>
      <c r="AA1097" s="25"/>
      <c r="AB1097" s="25"/>
      <c r="AC1097" s="25"/>
      <c r="AD1097" s="25"/>
      <c r="AE1097" s="25"/>
      <c r="AF1097" s="25"/>
      <c r="AG1097" s="25"/>
      <c r="AH1097" s="25"/>
      <c r="AI1097" s="25"/>
      <c r="AJ1097" s="25"/>
      <c r="AK1097" s="25"/>
      <c r="AL1097" s="25"/>
      <c r="AM1097" s="25"/>
      <c r="AN1097" s="25"/>
      <c r="AO1097" s="25"/>
      <c r="AP1097" s="25"/>
      <c r="AQ1097" s="25"/>
      <c r="AR1097" s="25"/>
      <c r="AS1097" s="25"/>
      <c r="AT1097" s="25"/>
      <c r="AU1097" s="25"/>
      <c r="AV1097" s="78"/>
      <c r="AW1097" s="6"/>
    </row>
    <row r="1098" spans="1:49" ht="18.75" customHeight="1" x14ac:dyDescent="0.25">
      <c r="B1098" s="32"/>
      <c r="C1098" s="205" t="s">
        <v>123</v>
      </c>
      <c r="D1098" s="676" t="s">
        <v>88</v>
      </c>
      <c r="E1098" s="676"/>
      <c r="F1098" s="134"/>
      <c r="G1098" s="676" t="s">
        <v>76</v>
      </c>
      <c r="H1098" s="676"/>
      <c r="I1098" s="103" t="str">
        <f t="shared" si="144"/>
        <v>C1</v>
      </c>
      <c r="J1098" s="144" t="str">
        <f t="shared" si="145"/>
        <v>Bajo</v>
      </c>
      <c r="K1098" s="105">
        <f t="shared" si="146"/>
        <v>4</v>
      </c>
      <c r="L1098" s="67"/>
      <c r="M1098" s="67"/>
      <c r="N1098" s="67"/>
      <c r="O1098" s="26"/>
      <c r="P1098" s="26"/>
      <c r="Q1098" s="26"/>
      <c r="R1098" s="26"/>
      <c r="S1098" s="26"/>
      <c r="T1098" s="26"/>
      <c r="U1098" s="26"/>
      <c r="V1098" s="54"/>
      <c r="W1098" s="54"/>
      <c r="X1098" s="54"/>
      <c r="Y1098" s="77"/>
      <c r="Z1098" s="77"/>
      <c r="AA1098" s="25"/>
      <c r="AB1098" s="25"/>
      <c r="AC1098" s="25"/>
      <c r="AD1098" s="25"/>
      <c r="AE1098" s="25"/>
      <c r="AF1098" s="25"/>
      <c r="AG1098" s="25"/>
      <c r="AH1098" s="25"/>
      <c r="AI1098" s="25"/>
      <c r="AJ1098" s="25"/>
      <c r="AK1098" s="25"/>
      <c r="AL1098" s="25"/>
      <c r="AM1098" s="25"/>
      <c r="AN1098" s="25"/>
      <c r="AO1098" s="25"/>
      <c r="AP1098" s="25"/>
      <c r="AQ1098" s="25"/>
      <c r="AR1098" s="25"/>
      <c r="AS1098" s="25"/>
      <c r="AT1098" s="25"/>
      <c r="AU1098" s="25"/>
      <c r="AV1098" s="78"/>
      <c r="AW1098" s="6"/>
    </row>
    <row r="1099" spans="1:49" ht="18.75" customHeight="1" x14ac:dyDescent="0.25">
      <c r="B1099" s="32"/>
      <c r="C1099" s="205" t="s">
        <v>129</v>
      </c>
      <c r="D1099" s="676" t="s">
        <v>82</v>
      </c>
      <c r="E1099" s="676"/>
      <c r="F1099" s="134"/>
      <c r="G1099" s="676" t="s">
        <v>80</v>
      </c>
      <c r="H1099" s="676"/>
      <c r="I1099" s="103" t="str">
        <f t="shared" si="144"/>
        <v>D2</v>
      </c>
      <c r="J1099" s="144" t="str">
        <f t="shared" si="145"/>
        <v>Bajo</v>
      </c>
      <c r="K1099" s="105">
        <f t="shared" si="146"/>
        <v>4</v>
      </c>
      <c r="L1099" s="67"/>
      <c r="M1099" s="67"/>
      <c r="N1099" s="67"/>
      <c r="O1099" s="26"/>
      <c r="P1099" s="26"/>
      <c r="Q1099" s="26"/>
      <c r="R1099" s="26"/>
      <c r="S1099" s="26"/>
      <c r="T1099" s="26"/>
      <c r="U1099" s="26"/>
      <c r="V1099" s="54"/>
      <c r="W1099" s="54"/>
      <c r="X1099" s="54"/>
      <c r="Y1099" s="77"/>
      <c r="Z1099" s="77"/>
      <c r="AA1099" s="25"/>
      <c r="AB1099" s="25"/>
      <c r="AC1099" s="25"/>
      <c r="AD1099" s="25"/>
      <c r="AE1099" s="25"/>
      <c r="AF1099" s="25"/>
      <c r="AG1099" s="25"/>
      <c r="AH1099" s="25"/>
      <c r="AI1099" s="25"/>
      <c r="AJ1099" s="25"/>
      <c r="AK1099" s="25"/>
      <c r="AL1099" s="25"/>
      <c r="AM1099" s="25"/>
      <c r="AN1099" s="25"/>
      <c r="AO1099" s="25"/>
      <c r="AP1099" s="25"/>
      <c r="AQ1099" s="25"/>
      <c r="AR1099" s="25"/>
      <c r="AS1099" s="25"/>
      <c r="AT1099" s="25"/>
      <c r="AU1099" s="25"/>
      <c r="AV1099" s="78"/>
      <c r="AW1099" s="6"/>
    </row>
    <row r="1100" spans="1:49" ht="18.75" customHeight="1" x14ac:dyDescent="0.25">
      <c r="B1100" s="32"/>
      <c r="C1100" s="205" t="s">
        <v>124</v>
      </c>
      <c r="D1100" s="676" t="s">
        <v>82</v>
      </c>
      <c r="E1100" s="676"/>
      <c r="F1100" s="134"/>
      <c r="G1100" s="676" t="s">
        <v>80</v>
      </c>
      <c r="H1100" s="676"/>
      <c r="I1100" s="103" t="str">
        <f t="shared" si="144"/>
        <v>D2</v>
      </c>
      <c r="J1100" s="144" t="str">
        <f t="shared" si="145"/>
        <v>Bajo</v>
      </c>
      <c r="K1100" s="105">
        <f t="shared" si="146"/>
        <v>4</v>
      </c>
      <c r="L1100" s="67"/>
      <c r="M1100" s="67"/>
      <c r="N1100" s="67"/>
      <c r="O1100" s="26"/>
      <c r="P1100" s="26"/>
      <c r="Q1100" s="26"/>
      <c r="R1100" s="26"/>
      <c r="S1100" s="26"/>
      <c r="T1100" s="26"/>
      <c r="U1100" s="26"/>
      <c r="V1100" s="54"/>
      <c r="W1100" s="54"/>
      <c r="X1100" s="54"/>
      <c r="Y1100" s="77"/>
      <c r="Z1100" s="77"/>
      <c r="AA1100" s="25"/>
      <c r="AB1100" s="25"/>
      <c r="AC1100" s="25"/>
      <c r="AD1100" s="25"/>
      <c r="AE1100" s="25"/>
      <c r="AF1100" s="25"/>
      <c r="AG1100" s="25"/>
      <c r="AH1100" s="25"/>
      <c r="AI1100" s="25"/>
      <c r="AJ1100" s="25"/>
      <c r="AK1100" s="25"/>
      <c r="AL1100" s="25"/>
      <c r="AM1100" s="25"/>
      <c r="AN1100" s="25"/>
      <c r="AO1100" s="25"/>
      <c r="AP1100" s="25"/>
      <c r="AQ1100" s="25"/>
      <c r="AR1100" s="25"/>
      <c r="AS1100" s="25"/>
      <c r="AT1100" s="25"/>
      <c r="AU1100" s="25"/>
      <c r="AV1100" s="78"/>
      <c r="AW1100" s="6"/>
    </row>
    <row r="1101" spans="1:49" ht="18.75" customHeight="1" x14ac:dyDescent="0.25">
      <c r="B1101" s="32"/>
      <c r="C1101" s="205" t="s">
        <v>125</v>
      </c>
      <c r="D1101" s="676" t="s">
        <v>87</v>
      </c>
      <c r="E1101" s="676"/>
      <c r="F1101" s="134"/>
      <c r="G1101" s="676" t="s">
        <v>76</v>
      </c>
      <c r="H1101" s="676"/>
      <c r="I1101" s="103" t="str">
        <f t="shared" si="144"/>
        <v>B1</v>
      </c>
      <c r="J1101" s="144" t="str">
        <f t="shared" si="145"/>
        <v>Medio</v>
      </c>
      <c r="K1101" s="105">
        <f t="shared" si="146"/>
        <v>3</v>
      </c>
      <c r="L1101" s="67"/>
      <c r="M1101" s="67"/>
      <c r="N1101" s="67"/>
      <c r="O1101" s="26"/>
      <c r="P1101" s="26"/>
      <c r="Q1101" s="26"/>
      <c r="R1101" s="26"/>
      <c r="S1101" s="26"/>
      <c r="T1101" s="26"/>
      <c r="U1101" s="26"/>
      <c r="V1101" s="54"/>
      <c r="W1101" s="54"/>
      <c r="X1101" s="54"/>
      <c r="Y1101" s="77"/>
      <c r="Z1101" s="77"/>
      <c r="AA1101" s="25"/>
      <c r="AB1101" s="25"/>
      <c r="AC1101" s="25"/>
      <c r="AD1101" s="25"/>
      <c r="AE1101" s="25"/>
      <c r="AF1101" s="25"/>
      <c r="AG1101" s="25"/>
      <c r="AH1101" s="25"/>
      <c r="AI1101" s="25"/>
      <c r="AJ1101" s="25"/>
      <c r="AK1101" s="25"/>
      <c r="AL1101" s="25"/>
      <c r="AM1101" s="25"/>
      <c r="AN1101" s="25"/>
      <c r="AO1101" s="25"/>
      <c r="AP1101" s="25"/>
      <c r="AQ1101" s="25"/>
      <c r="AR1101" s="25"/>
      <c r="AS1101" s="25"/>
      <c r="AT1101" s="25"/>
      <c r="AU1101" s="25"/>
      <c r="AV1101" s="78"/>
      <c r="AW1101" s="6"/>
    </row>
    <row r="1102" spans="1:49" ht="18.75" customHeight="1" x14ac:dyDescent="0.25">
      <c r="B1102" s="32"/>
      <c r="C1102" s="205" t="s">
        <v>263</v>
      </c>
      <c r="D1102" s="676" t="s">
        <v>82</v>
      </c>
      <c r="E1102" s="676"/>
      <c r="F1102" s="134"/>
      <c r="G1102" s="676" t="s">
        <v>89</v>
      </c>
      <c r="H1102" s="676"/>
      <c r="I1102" s="103" t="str">
        <f t="shared" si="144"/>
        <v>DN</v>
      </c>
      <c r="J1102" s="144" t="str">
        <f t="shared" si="145"/>
        <v>Desconocido</v>
      </c>
      <c r="K1102" s="105" t="str">
        <f t="shared" si="146"/>
        <v>.</v>
      </c>
      <c r="L1102" s="26"/>
      <c r="M1102" s="26"/>
      <c r="N1102" s="26"/>
      <c r="O1102" s="26"/>
      <c r="P1102" s="26"/>
      <c r="Q1102" s="26"/>
      <c r="R1102" s="26"/>
      <c r="S1102" s="26"/>
      <c r="T1102" s="26"/>
      <c r="U1102" s="26"/>
      <c r="V1102" s="54"/>
      <c r="W1102" s="54"/>
      <c r="X1102" s="54"/>
      <c r="Y1102" s="77"/>
      <c r="Z1102" s="77"/>
      <c r="AA1102" s="25"/>
      <c r="AB1102" s="25"/>
      <c r="AC1102" s="25"/>
      <c r="AD1102" s="25"/>
      <c r="AE1102" s="25"/>
      <c r="AF1102" s="25"/>
      <c r="AG1102" s="25"/>
      <c r="AH1102" s="25"/>
      <c r="AI1102" s="25"/>
      <c r="AJ1102" s="25"/>
      <c r="AK1102" s="25"/>
      <c r="AL1102" s="25"/>
      <c r="AM1102" s="25"/>
      <c r="AN1102" s="25"/>
      <c r="AO1102" s="25"/>
      <c r="AP1102" s="25"/>
      <c r="AQ1102" s="25"/>
      <c r="AR1102" s="25"/>
      <c r="AS1102" s="25"/>
      <c r="AT1102" s="25"/>
      <c r="AU1102" s="25"/>
      <c r="AV1102" s="78"/>
      <c r="AW1102" s="6"/>
    </row>
    <row r="1103" spans="1:49" ht="18.75" customHeight="1" x14ac:dyDescent="0.25">
      <c r="B1103" s="32"/>
      <c r="C1103" s="205" t="s">
        <v>126</v>
      </c>
      <c r="D1103" s="676" t="s">
        <v>82</v>
      </c>
      <c r="E1103" s="676"/>
      <c r="F1103" s="134"/>
      <c r="G1103" s="676" t="s">
        <v>80</v>
      </c>
      <c r="H1103" s="676"/>
      <c r="I1103" s="103" t="str">
        <f t="shared" si="144"/>
        <v>D2</v>
      </c>
      <c r="J1103" s="144" t="str">
        <f t="shared" si="145"/>
        <v>Bajo</v>
      </c>
      <c r="K1103" s="105">
        <f t="shared" si="146"/>
        <v>4</v>
      </c>
      <c r="L1103" s="26"/>
      <c r="M1103" s="26"/>
      <c r="N1103" s="26"/>
      <c r="O1103" s="26"/>
      <c r="P1103" s="26"/>
      <c r="Q1103" s="26"/>
      <c r="R1103" s="26"/>
      <c r="S1103" s="26"/>
      <c r="T1103" s="26"/>
      <c r="U1103" s="26"/>
      <c r="V1103" s="54"/>
      <c r="W1103" s="54"/>
      <c r="X1103" s="54"/>
      <c r="Y1103" s="77"/>
      <c r="Z1103" s="77"/>
      <c r="AA1103" s="25"/>
      <c r="AB1103" s="25"/>
      <c r="AC1103" s="25"/>
      <c r="AD1103" s="25"/>
      <c r="AE1103" s="25"/>
      <c r="AF1103" s="25"/>
      <c r="AG1103" s="25"/>
      <c r="AH1103" s="25"/>
      <c r="AI1103" s="25"/>
      <c r="AJ1103" s="25"/>
      <c r="AK1103" s="25"/>
      <c r="AL1103" s="25"/>
      <c r="AM1103" s="25"/>
      <c r="AN1103" s="25"/>
      <c r="AO1103" s="25"/>
      <c r="AP1103" s="25"/>
      <c r="AQ1103" s="25"/>
      <c r="AR1103" s="25"/>
      <c r="AS1103" s="25"/>
      <c r="AT1103" s="25"/>
      <c r="AU1103" s="25"/>
      <c r="AV1103" s="78"/>
      <c r="AW1103" s="6"/>
    </row>
    <row r="1104" spans="1:49" ht="18.75" customHeight="1" x14ac:dyDescent="0.25">
      <c r="B1104" s="32"/>
      <c r="C1104" s="205" t="s">
        <v>127</v>
      </c>
      <c r="D1104" s="676" t="s">
        <v>82</v>
      </c>
      <c r="E1104" s="676"/>
      <c r="F1104" s="134"/>
      <c r="G1104" s="676" t="s">
        <v>80</v>
      </c>
      <c r="H1104" s="676"/>
      <c r="I1104" s="103" t="str">
        <f t="shared" si="144"/>
        <v>D2</v>
      </c>
      <c r="J1104" s="144" t="str">
        <f t="shared" si="145"/>
        <v>Bajo</v>
      </c>
      <c r="K1104" s="105">
        <f t="shared" si="146"/>
        <v>4</v>
      </c>
      <c r="L1104" s="26"/>
      <c r="M1104" s="26"/>
      <c r="N1104" s="26"/>
      <c r="O1104" s="26"/>
      <c r="P1104" s="26"/>
      <c r="Q1104" s="26"/>
      <c r="R1104" s="26"/>
      <c r="S1104" s="26"/>
      <c r="T1104" s="26"/>
      <c r="U1104" s="26"/>
      <c r="V1104" s="54"/>
      <c r="W1104" s="54"/>
      <c r="X1104" s="54"/>
      <c r="Y1104" s="77"/>
      <c r="Z1104" s="77"/>
      <c r="AA1104" s="25"/>
      <c r="AB1104" s="25"/>
      <c r="AC1104" s="25"/>
      <c r="AD1104" s="25"/>
      <c r="AE1104" s="25"/>
      <c r="AF1104" s="25"/>
      <c r="AG1104" s="25"/>
      <c r="AH1104" s="25"/>
      <c r="AI1104" s="25"/>
      <c r="AJ1104" s="25"/>
      <c r="AK1104" s="25"/>
      <c r="AL1104" s="25"/>
      <c r="AM1104" s="25"/>
      <c r="AN1104" s="25"/>
      <c r="AO1104" s="25"/>
      <c r="AP1104" s="25"/>
      <c r="AQ1104" s="25"/>
      <c r="AR1104" s="25"/>
      <c r="AS1104" s="25"/>
      <c r="AT1104" s="25"/>
      <c r="AU1104" s="25"/>
      <c r="AV1104" s="78"/>
      <c r="AW1104" s="6"/>
    </row>
    <row r="1105" spans="1:49" ht="18.75" customHeight="1" x14ac:dyDescent="0.25">
      <c r="B1105" s="32"/>
      <c r="C1105" s="205" t="s">
        <v>130</v>
      </c>
      <c r="D1105" s="676" t="s">
        <v>82</v>
      </c>
      <c r="E1105" s="676"/>
      <c r="F1105" s="134"/>
      <c r="G1105" s="676" t="s">
        <v>80</v>
      </c>
      <c r="H1105" s="676"/>
      <c r="I1105" s="103" t="str">
        <f t="shared" si="144"/>
        <v>D2</v>
      </c>
      <c r="J1105" s="144" t="str">
        <f t="shared" si="145"/>
        <v>Bajo</v>
      </c>
      <c r="K1105" s="105">
        <f t="shared" si="146"/>
        <v>4</v>
      </c>
      <c r="L1105" s="26"/>
      <c r="M1105" s="26"/>
      <c r="N1105" s="26"/>
      <c r="O1105" s="26"/>
      <c r="P1105" s="26"/>
      <c r="Q1105" s="26"/>
      <c r="R1105" s="26"/>
      <c r="S1105" s="26"/>
      <c r="T1105" s="26"/>
      <c r="U1105" s="26"/>
      <c r="V1105" s="54"/>
      <c r="W1105" s="54"/>
      <c r="X1105" s="54"/>
      <c r="Y1105" s="77"/>
      <c r="Z1105" s="77"/>
      <c r="AA1105" s="25"/>
      <c r="AB1105" s="25"/>
      <c r="AC1105" s="25"/>
      <c r="AD1105" s="25"/>
      <c r="AE1105" s="25"/>
      <c r="AF1105" s="25"/>
      <c r="AG1105" s="25"/>
      <c r="AH1105" s="25"/>
      <c r="AI1105" s="25"/>
      <c r="AJ1105" s="25"/>
      <c r="AK1105" s="25"/>
      <c r="AL1105" s="25"/>
      <c r="AM1105" s="25"/>
      <c r="AN1105" s="25"/>
      <c r="AO1105" s="25"/>
      <c r="AP1105" s="25"/>
      <c r="AQ1105" s="25"/>
      <c r="AR1105" s="25"/>
      <c r="AS1105" s="25"/>
      <c r="AT1105" s="25"/>
      <c r="AU1105" s="25"/>
      <c r="AV1105" s="78"/>
      <c r="AW1105" s="6"/>
    </row>
    <row r="1106" spans="1:49" ht="18.75" customHeight="1" x14ac:dyDescent="0.25">
      <c r="B1106" s="32"/>
      <c r="C1106" s="205" t="s">
        <v>131</v>
      </c>
      <c r="D1106" s="676" t="s">
        <v>82</v>
      </c>
      <c r="E1106" s="676"/>
      <c r="F1106" s="134"/>
      <c r="G1106" s="676" t="s">
        <v>80</v>
      </c>
      <c r="H1106" s="676"/>
      <c r="I1106" s="103" t="str">
        <f t="shared" si="144"/>
        <v>D2</v>
      </c>
      <c r="J1106" s="144" t="str">
        <f t="shared" si="145"/>
        <v>Bajo</v>
      </c>
      <c r="K1106" s="105">
        <f t="shared" si="146"/>
        <v>4</v>
      </c>
      <c r="L1106" s="26"/>
      <c r="M1106" s="26"/>
      <c r="N1106" s="26"/>
      <c r="O1106" s="26"/>
      <c r="P1106" s="26"/>
      <c r="Q1106" s="26"/>
      <c r="R1106" s="26"/>
      <c r="S1106" s="26"/>
      <c r="T1106" s="26"/>
      <c r="U1106" s="26"/>
      <c r="V1106" s="54"/>
      <c r="W1106" s="54"/>
      <c r="X1106" s="54"/>
      <c r="Y1106" s="77"/>
      <c r="Z1106" s="77"/>
      <c r="AA1106" s="25"/>
      <c r="AB1106" s="25"/>
      <c r="AC1106" s="25"/>
      <c r="AD1106" s="25"/>
      <c r="AE1106" s="25"/>
      <c r="AF1106" s="25"/>
      <c r="AG1106" s="25"/>
      <c r="AH1106" s="25"/>
      <c r="AI1106" s="25"/>
      <c r="AJ1106" s="25"/>
      <c r="AK1106" s="25"/>
      <c r="AL1106" s="25"/>
      <c r="AM1106" s="25"/>
      <c r="AN1106" s="25"/>
      <c r="AO1106" s="25"/>
      <c r="AP1106" s="25"/>
      <c r="AQ1106" s="25"/>
      <c r="AR1106" s="25"/>
      <c r="AS1106" s="25"/>
      <c r="AT1106" s="25"/>
      <c r="AU1106" s="25"/>
      <c r="AV1106" s="78"/>
      <c r="AW1106" s="6"/>
    </row>
    <row r="1107" spans="1:49" ht="18.75" customHeight="1" x14ac:dyDescent="0.25">
      <c r="B1107" s="32"/>
      <c r="C1107" s="26"/>
      <c r="D1107" s="67"/>
      <c r="E1107" s="68"/>
      <c r="F1107" s="68"/>
      <c r="G1107" s="73"/>
      <c r="H1107" s="68"/>
      <c r="I1107" s="68"/>
      <c r="J1107" s="26"/>
      <c r="K1107" s="26"/>
      <c r="L1107" s="26"/>
      <c r="M1107" s="26"/>
      <c r="N1107" s="26"/>
      <c r="O1107" s="26"/>
      <c r="P1107" s="26"/>
      <c r="Q1107" s="26"/>
      <c r="R1107" s="26"/>
      <c r="S1107" s="26"/>
      <c r="T1107" s="26"/>
      <c r="U1107" s="26"/>
      <c r="V1107" s="54"/>
      <c r="W1107" s="54"/>
      <c r="X1107" s="54"/>
      <c r="Y1107" s="77"/>
      <c r="Z1107" s="77"/>
      <c r="AA1107" s="25"/>
      <c r="AB1107" s="25"/>
      <c r="AC1107" s="25"/>
      <c r="AD1107" s="25"/>
      <c r="AE1107" s="25"/>
      <c r="AF1107" s="25"/>
      <c r="AG1107" s="25"/>
      <c r="AH1107" s="25"/>
      <c r="AI1107" s="25"/>
      <c r="AJ1107" s="25"/>
      <c r="AK1107" s="25"/>
      <c r="AL1107" s="25"/>
      <c r="AM1107" s="25"/>
      <c r="AN1107" s="25"/>
      <c r="AO1107" s="25"/>
      <c r="AP1107" s="25"/>
      <c r="AQ1107" s="25"/>
      <c r="AR1107" s="25"/>
      <c r="AS1107" s="25"/>
      <c r="AT1107" s="25"/>
      <c r="AU1107" s="25"/>
      <c r="AV1107" s="78"/>
      <c r="AW1107" s="6"/>
    </row>
    <row r="1108" spans="1:49" s="65" customFormat="1" ht="16.5" thickBot="1" x14ac:dyDescent="0.3">
      <c r="B1108" s="69"/>
      <c r="C1108" s="123"/>
      <c r="D1108" s="72"/>
      <c r="E1108" s="72"/>
      <c r="F1108" s="72"/>
      <c r="G1108" s="142"/>
      <c r="H1108" s="72"/>
      <c r="I1108" s="72"/>
      <c r="J1108" s="72"/>
      <c r="K1108" s="72"/>
      <c r="L1108" s="72"/>
      <c r="M1108" s="72"/>
      <c r="N1108" s="72"/>
      <c r="O1108" s="72"/>
      <c r="P1108" s="72"/>
      <c r="Q1108" s="72"/>
      <c r="R1108" s="72"/>
      <c r="S1108" s="30"/>
      <c r="T1108" s="30"/>
      <c r="U1108" s="30"/>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1"/>
    </row>
    <row r="1109" spans="1:49" ht="15.75" customHeight="1" x14ac:dyDescent="0.25">
      <c r="A1109" s="13"/>
      <c r="B1109" s="7"/>
      <c r="C1109" s="10"/>
      <c r="D1109" s="9"/>
      <c r="E1109" s="7"/>
      <c r="F1109" s="7"/>
      <c r="G1109" s="7"/>
      <c r="H1109" s="7"/>
      <c r="I1109" s="7"/>
      <c r="J1109" s="7"/>
      <c r="K1109" s="7"/>
      <c r="L1109" s="7"/>
      <c r="M1109" s="7"/>
      <c r="N1109" s="7"/>
      <c r="O1109" s="7"/>
      <c r="P1109" s="7"/>
      <c r="Q1109" s="7"/>
      <c r="R1109" s="7"/>
      <c r="S1109" s="7"/>
      <c r="T1109" s="7"/>
      <c r="U1109" s="7"/>
      <c r="V1109" s="63"/>
      <c r="W1109" s="63"/>
      <c r="X1109" s="63"/>
      <c r="Y1109" s="63"/>
      <c r="Z1109" s="63"/>
      <c r="AA1109" s="63"/>
      <c r="AB1109" s="63"/>
      <c r="AC1109" s="63"/>
      <c r="AD1109" s="63"/>
      <c r="AE1109" s="63"/>
      <c r="AF1109" s="63"/>
      <c r="AG1109" s="63"/>
      <c r="AH1109" s="63"/>
      <c r="AI1109" s="63"/>
      <c r="AJ1109" s="63"/>
      <c r="AK1109" s="63"/>
      <c r="AL1109" s="63"/>
      <c r="AM1109" s="63"/>
      <c r="AN1109" s="63"/>
      <c r="AO1109" s="63"/>
      <c r="AP1109" s="63"/>
      <c r="AQ1109" s="63"/>
      <c r="AR1109" s="63"/>
      <c r="AS1109" s="63"/>
      <c r="AT1109" s="63"/>
      <c r="AU1109" s="63"/>
      <c r="AV1109" s="63"/>
      <c r="AW1109" s="13"/>
    </row>
    <row r="1110" spans="1:49" ht="16.5" thickBot="1" x14ac:dyDescent="0.3">
      <c r="B1110" s="19"/>
      <c r="C1110" s="10"/>
      <c r="D1110" s="9"/>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c r="AC1110" s="7"/>
      <c r="AD1110" s="7"/>
      <c r="AE1110" s="7"/>
      <c r="AF1110" s="7"/>
      <c r="AG1110" s="7"/>
      <c r="AH1110" s="7"/>
      <c r="AI1110" s="7"/>
      <c r="AJ1110" s="7"/>
      <c r="AK1110" s="7"/>
      <c r="AL1110" s="7"/>
      <c r="AM1110" s="7"/>
      <c r="AN1110" s="7"/>
      <c r="AO1110" s="7"/>
      <c r="AP1110" s="7"/>
      <c r="AQ1110" s="7"/>
      <c r="AR1110" s="7"/>
      <c r="AS1110" s="7"/>
      <c r="AT1110" s="7"/>
      <c r="AU1110" s="7"/>
      <c r="AV1110" s="7"/>
    </row>
    <row r="1111" spans="1:49" ht="21.75" thickBot="1" x14ac:dyDescent="0.4">
      <c r="B1111" s="599" t="str">
        <f>Modelo!F29</f>
        <v>Plazo de recuperación de la inversión</v>
      </c>
      <c r="C1111" s="600"/>
      <c r="D1111" s="601"/>
      <c r="E1111" s="22"/>
      <c r="F1111" s="22"/>
      <c r="G1111" s="22"/>
      <c r="H1111" s="22"/>
      <c r="I1111" s="22"/>
      <c r="J1111" s="22"/>
      <c r="K1111" s="518" t="s">
        <v>696</v>
      </c>
      <c r="L1111" s="519">
        <f>E155</f>
        <v>20305</v>
      </c>
      <c r="M1111" s="520" t="str">
        <f>C1063</f>
        <v>Tasa para el cálculo del VAN</v>
      </c>
      <c r="N1111" s="521">
        <f>D1063</f>
        <v>0.06</v>
      </c>
      <c r="O1111" s="522" t="s">
        <v>116</v>
      </c>
      <c r="P1111" s="523">
        <v>4</v>
      </c>
      <c r="Q1111" s="22"/>
      <c r="R1111" s="22"/>
      <c r="S1111" s="22"/>
      <c r="T1111" s="22"/>
      <c r="U1111" s="22"/>
      <c r="V1111" s="22"/>
      <c r="W1111" s="22"/>
      <c r="X1111" s="22"/>
      <c r="Y1111" s="22"/>
      <c r="Z1111" s="22"/>
      <c r="AA1111" s="22"/>
      <c r="AB1111" s="22"/>
      <c r="AC1111" s="22"/>
      <c r="AD1111" s="22"/>
      <c r="AE1111" s="22"/>
      <c r="AF1111" s="22"/>
      <c r="AG1111" s="22"/>
      <c r="AH1111" s="22"/>
      <c r="AI1111" s="22"/>
      <c r="AJ1111" s="22"/>
      <c r="AK1111" s="22"/>
      <c r="AL1111" s="22"/>
      <c r="AM1111" s="22"/>
      <c r="AN1111" s="22"/>
      <c r="AO1111" s="22"/>
      <c r="AP1111" s="22"/>
      <c r="AQ1111" s="22"/>
      <c r="AR1111" s="22"/>
      <c r="AS1111" s="22"/>
      <c r="AT1111" s="22"/>
      <c r="AU1111" s="22"/>
      <c r="AV1111" s="23"/>
    </row>
    <row r="1112" spans="1:49" s="12" customFormat="1" x14ac:dyDescent="0.25">
      <c r="A1112" s="131"/>
      <c r="B1112" s="51"/>
      <c r="C1112" s="24"/>
      <c r="D1112" s="25"/>
      <c r="E1112" s="26"/>
      <c r="F1112" s="26"/>
      <c r="G1112" s="26"/>
      <c r="H1112" s="26"/>
      <c r="I1112" s="26"/>
      <c r="J1112" s="70"/>
      <c r="K1112" s="524" t="s">
        <v>111</v>
      </c>
      <c r="L1112" s="525" t="s">
        <v>112</v>
      </c>
      <c r="M1112" s="525" t="s">
        <v>113</v>
      </c>
      <c r="N1112" s="525" t="s">
        <v>66</v>
      </c>
      <c r="O1112" s="525" t="s">
        <v>114</v>
      </c>
      <c r="P1112" s="526" t="s">
        <v>115</v>
      </c>
      <c r="Q1112" s="70"/>
      <c r="R1112" s="70"/>
      <c r="S1112" s="70"/>
      <c r="T1112" s="70"/>
      <c r="U1112" s="70"/>
      <c r="V1112" s="70"/>
      <c r="W1112" s="70"/>
      <c r="X1112" s="70"/>
      <c r="Y1112" s="70"/>
      <c r="Z1112" s="70"/>
      <c r="AA1112" s="70"/>
      <c r="AB1112" s="70"/>
      <c r="AC1112" s="70"/>
      <c r="AD1112" s="70"/>
      <c r="AE1112" s="70"/>
      <c r="AF1112" s="70"/>
      <c r="AG1112" s="70"/>
      <c r="AH1112" s="70"/>
      <c r="AI1112" s="70"/>
      <c r="AJ1112" s="70"/>
      <c r="AK1112" s="70"/>
      <c r="AL1112" s="70"/>
      <c r="AM1112" s="70"/>
      <c r="AN1112" s="70"/>
      <c r="AO1112" s="70"/>
      <c r="AP1112" s="70"/>
      <c r="AQ1112" s="70"/>
      <c r="AR1112" s="70"/>
      <c r="AS1112" s="70"/>
      <c r="AT1112" s="70"/>
      <c r="AU1112" s="70"/>
      <c r="AV1112" s="71"/>
    </row>
    <row r="1113" spans="1:49" s="12" customFormat="1" ht="15" x14ac:dyDescent="0.25">
      <c r="A1113" s="131"/>
      <c r="B1113" s="51"/>
      <c r="C1113" s="26"/>
      <c r="D1113" s="26"/>
      <c r="E1113" s="26"/>
      <c r="F1113" s="26"/>
      <c r="G1113" s="26"/>
      <c r="H1113" s="26"/>
      <c r="I1113" s="26"/>
      <c r="J1113" s="70"/>
      <c r="K1113" s="527"/>
      <c r="L1113" s="260"/>
      <c r="M1113" s="260"/>
      <c r="N1113" s="260"/>
      <c r="O1113" s="262"/>
      <c r="P1113" s="528">
        <f>IF(SUM(P1114:P1119)&gt;0,SUM(P1114:P1119),"Más de 5 años")</f>
        <v>594.67230992195118</v>
      </c>
      <c r="Q1113" s="70"/>
      <c r="R1113" s="70"/>
      <c r="S1113" s="70"/>
      <c r="T1113" s="70"/>
      <c r="U1113" s="70"/>
      <c r="V1113" s="70"/>
      <c r="W1113" s="70"/>
      <c r="X1113" s="70"/>
      <c r="Y1113" s="70"/>
      <c r="Z1113" s="70"/>
      <c r="AA1113" s="70"/>
      <c r="AB1113" s="70"/>
      <c r="AC1113" s="70"/>
      <c r="AD1113" s="70"/>
      <c r="AE1113" s="70"/>
      <c r="AF1113" s="70"/>
      <c r="AG1113" s="70"/>
      <c r="AH1113" s="70"/>
      <c r="AI1113" s="70"/>
      <c r="AJ1113" s="70"/>
      <c r="AK1113" s="70"/>
      <c r="AL1113" s="70"/>
      <c r="AM1113" s="70"/>
      <c r="AN1113" s="70"/>
      <c r="AO1113" s="70"/>
      <c r="AP1113" s="70"/>
      <c r="AQ1113" s="70"/>
      <c r="AR1113" s="70"/>
      <c r="AS1113" s="70"/>
      <c r="AT1113" s="70"/>
      <c r="AU1113" s="70"/>
      <c r="AV1113" s="71"/>
    </row>
    <row r="1114" spans="1:49" s="12" customFormat="1" ht="15" x14ac:dyDescent="0.25">
      <c r="A1114" s="131"/>
      <c r="B1114" s="51"/>
      <c r="C1114" s="26"/>
      <c r="D1114" s="26"/>
      <c r="E1114" s="26"/>
      <c r="F1114" s="26"/>
      <c r="G1114" s="26"/>
      <c r="H1114" s="26"/>
      <c r="I1114" s="26"/>
      <c r="J1114" s="70"/>
      <c r="K1114" s="529"/>
      <c r="L1114" s="261"/>
      <c r="M1114" s="261"/>
      <c r="N1114" s="261"/>
      <c r="O1114" s="261"/>
      <c r="P1114" s="528"/>
      <c r="Q1114" s="70"/>
      <c r="R1114" s="70"/>
      <c r="S1114" s="70"/>
      <c r="T1114" s="70"/>
      <c r="U1114" s="70"/>
      <c r="V1114" s="70"/>
      <c r="W1114" s="70"/>
      <c r="X1114" s="70"/>
      <c r="Y1114" s="70"/>
      <c r="Z1114" s="70"/>
      <c r="AA1114" s="70"/>
      <c r="AB1114" s="70"/>
      <c r="AC1114" s="70"/>
      <c r="AD1114" s="70"/>
      <c r="AE1114" s="70"/>
      <c r="AF1114" s="70"/>
      <c r="AG1114" s="70"/>
      <c r="AH1114" s="70"/>
      <c r="AI1114" s="70"/>
      <c r="AJ1114" s="70"/>
      <c r="AK1114" s="70"/>
      <c r="AL1114" s="70"/>
      <c r="AM1114" s="70"/>
      <c r="AN1114" s="70"/>
      <c r="AO1114" s="70"/>
      <c r="AP1114" s="70"/>
      <c r="AQ1114" s="70"/>
      <c r="AR1114" s="70"/>
      <c r="AS1114" s="70"/>
      <c r="AT1114" s="70"/>
      <c r="AU1114" s="70"/>
      <c r="AV1114" s="71"/>
    </row>
    <row r="1115" spans="1:49" s="12" customFormat="1" ht="15" x14ac:dyDescent="0.25">
      <c r="A1115" s="131"/>
      <c r="B1115" s="51"/>
      <c r="C1115" s="26"/>
      <c r="D1115" s="26"/>
      <c r="E1115" s="26"/>
      <c r="F1115" s="26"/>
      <c r="G1115" s="26"/>
      <c r="H1115" s="26"/>
      <c r="I1115" s="26"/>
      <c r="J1115" s="70"/>
      <c r="K1115" s="530">
        <v>1</v>
      </c>
      <c r="L1115" s="263">
        <f>D1059</f>
        <v>12440.410992652129</v>
      </c>
      <c r="M1115" s="261">
        <f>L1115*(1+N1111)^-K1115</f>
        <v>11736.236785520874</v>
      </c>
      <c r="N1115" s="261">
        <f>N1114+M1115</f>
        <v>11736.236785520874</v>
      </c>
      <c r="O1115" s="259">
        <f>L1111-N1115</f>
        <v>8568.763214479126</v>
      </c>
      <c r="P1115" s="531" t="str">
        <f>IF(O1115&gt;=0,"-",(K1114*365+(L1111/M1115)*365))</f>
        <v>-</v>
      </c>
      <c r="Q1115" s="70"/>
      <c r="R1115" s="70"/>
      <c r="S1115" s="70"/>
      <c r="T1115" s="70"/>
      <c r="U1115" s="70"/>
      <c r="V1115" s="70"/>
      <c r="W1115" s="70"/>
      <c r="X1115" s="70"/>
      <c r="Y1115" s="70"/>
      <c r="Z1115" s="70"/>
      <c r="AA1115" s="70"/>
      <c r="AB1115" s="70"/>
      <c r="AC1115" s="70"/>
      <c r="AD1115" s="70"/>
      <c r="AE1115" s="70"/>
      <c r="AF1115" s="70"/>
      <c r="AG1115" s="70"/>
      <c r="AH1115" s="70"/>
      <c r="AI1115" s="70"/>
      <c r="AJ1115" s="70"/>
      <c r="AK1115" s="70"/>
      <c r="AL1115" s="70"/>
      <c r="AM1115" s="70"/>
      <c r="AN1115" s="70"/>
      <c r="AO1115" s="70"/>
      <c r="AP1115" s="70"/>
      <c r="AQ1115" s="70"/>
      <c r="AR1115" s="70"/>
      <c r="AS1115" s="70"/>
      <c r="AT1115" s="70"/>
      <c r="AU1115" s="70"/>
      <c r="AV1115" s="71"/>
    </row>
    <row r="1116" spans="1:49" s="12" customFormat="1" ht="15" x14ac:dyDescent="0.25">
      <c r="A1116" s="131"/>
      <c r="B1116" s="51"/>
      <c r="C1116" s="26"/>
      <c r="D1116" s="26"/>
      <c r="E1116" s="26"/>
      <c r="F1116" s="26"/>
      <c r="G1116" s="26"/>
      <c r="H1116" s="26"/>
      <c r="I1116" s="26"/>
      <c r="J1116" s="70"/>
      <c r="K1116" s="530">
        <v>2</v>
      </c>
      <c r="L1116" s="263">
        <f>E1059</f>
        <v>15300.798594907246</v>
      </c>
      <c r="M1116" s="261">
        <f>L1116*(1+N1111)^-K1116</f>
        <v>13617.656278842333</v>
      </c>
      <c r="N1116" s="261">
        <f>N1115+M1116</f>
        <v>25353.893064363205</v>
      </c>
      <c r="O1116" s="259">
        <f>L1111-N1116</f>
        <v>-5048.8930643632048</v>
      </c>
      <c r="P1116" s="531">
        <f>IF(O1116&gt;=0,"-",IF(O1115&lt;0,"-",(K1115*365+(O1115/M1116)*365)))</f>
        <v>594.67230992195118</v>
      </c>
      <c r="Q1116" s="70"/>
      <c r="R1116" s="70"/>
      <c r="S1116" s="70"/>
      <c r="T1116" s="70"/>
      <c r="U1116" s="70"/>
      <c r="V1116" s="70"/>
      <c r="W1116" s="70"/>
      <c r="X1116" s="70"/>
      <c r="Y1116" s="70"/>
      <c r="Z1116" s="70"/>
      <c r="AA1116" s="70"/>
      <c r="AB1116" s="70"/>
      <c r="AC1116" s="70"/>
      <c r="AD1116" s="70"/>
      <c r="AE1116" s="70"/>
      <c r="AF1116" s="70"/>
      <c r="AG1116" s="70"/>
      <c r="AH1116" s="70"/>
      <c r="AI1116" s="70"/>
      <c r="AJ1116" s="70"/>
      <c r="AK1116" s="70"/>
      <c r="AL1116" s="70"/>
      <c r="AM1116" s="70"/>
      <c r="AN1116" s="70"/>
      <c r="AO1116" s="70"/>
      <c r="AP1116" s="70"/>
      <c r="AQ1116" s="70"/>
      <c r="AR1116" s="70"/>
      <c r="AS1116" s="70"/>
      <c r="AT1116" s="70"/>
      <c r="AU1116" s="70"/>
      <c r="AV1116" s="71"/>
    </row>
    <row r="1117" spans="1:49" s="12" customFormat="1" thickBot="1" x14ac:dyDescent="0.3">
      <c r="A1117" s="131"/>
      <c r="B1117" s="51"/>
      <c r="C1117" s="70"/>
      <c r="D1117" s="70"/>
      <c r="E1117" s="26"/>
      <c r="F1117" s="26"/>
      <c r="G1117" s="26"/>
      <c r="H1117" s="26"/>
      <c r="I1117" s="26"/>
      <c r="J1117" s="70"/>
      <c r="K1117" s="530">
        <v>3</v>
      </c>
      <c r="L1117" s="263">
        <f>F1059</f>
        <v>17616.446249531502</v>
      </c>
      <c r="M1117" s="261">
        <f>L1117*(1+N1111)^-K1117</f>
        <v>14791.107969608718</v>
      </c>
      <c r="N1117" s="261">
        <f>N1116+M1117</f>
        <v>40145.001033971923</v>
      </c>
      <c r="O1117" s="259">
        <f>L1111-N1117</f>
        <v>-19840.001033971923</v>
      </c>
      <c r="P1117" s="531" t="str">
        <f>IF(O1117&gt;=0,"-",IF(O1116&lt;0,"-",(K1116*365+(O1116/M1117)*365)))</f>
        <v>-</v>
      </c>
      <c r="Q1117" s="70"/>
      <c r="R1117" s="70"/>
      <c r="S1117" s="70"/>
      <c r="T1117" s="70"/>
      <c r="U1117" s="70"/>
      <c r="V1117" s="70"/>
      <c r="W1117" s="70"/>
      <c r="X1117" s="70"/>
      <c r="Y1117" s="70"/>
      <c r="Z1117" s="70"/>
      <c r="AA1117" s="70"/>
      <c r="AB1117" s="70"/>
      <c r="AC1117" s="70"/>
      <c r="AD1117" s="70"/>
      <c r="AE1117" s="70"/>
      <c r="AF1117" s="70"/>
      <c r="AG1117" s="70"/>
      <c r="AH1117" s="70"/>
      <c r="AI1117" s="70"/>
      <c r="AJ1117" s="70"/>
      <c r="AK1117" s="70"/>
      <c r="AL1117" s="70"/>
      <c r="AM1117" s="70"/>
      <c r="AN1117" s="70"/>
      <c r="AO1117" s="70"/>
      <c r="AP1117" s="70"/>
      <c r="AQ1117" s="70"/>
      <c r="AR1117" s="70"/>
      <c r="AS1117" s="70"/>
      <c r="AT1117" s="70"/>
      <c r="AU1117" s="70"/>
      <c r="AV1117" s="71"/>
    </row>
    <row r="1118" spans="1:49" s="12" customFormat="1" ht="16.5" thickBot="1" x14ac:dyDescent="0.3">
      <c r="A1118" s="131"/>
      <c r="B1118" s="51"/>
      <c r="C1118" s="368" t="s">
        <v>844</v>
      </c>
      <c r="D1118" s="416" t="str">
        <f>IF(P1113="Más de 5 años","Más de 5 años",FIXED(P1113/365,2)&amp;" años")</f>
        <v>1.63 años</v>
      </c>
      <c r="E1118" s="26" t="s">
        <v>138</v>
      </c>
      <c r="F1118" s="26"/>
      <c r="G1118" s="26"/>
      <c r="H1118" s="26"/>
      <c r="I1118" s="26"/>
      <c r="J1118" s="70"/>
      <c r="K1118" s="530">
        <v>4</v>
      </c>
      <c r="L1118" s="263">
        <f>G1059</f>
        <v>22879.19248957948</v>
      </c>
      <c r="M1118" s="261">
        <f>L1118*(1+N1111)^-K1118</f>
        <v>18122.463390998815</v>
      </c>
      <c r="N1118" s="261">
        <f>N1117+M1118</f>
        <v>58267.464424970734</v>
      </c>
      <c r="O1118" s="259">
        <f>L1111-N1118</f>
        <v>-37962.464424970734</v>
      </c>
      <c r="P1118" s="531" t="str">
        <f>IF(O1118&gt;=0,"-",IF(O1117&lt;0,"-",(K1117*365+(O1117/M1118)*365)))</f>
        <v>-</v>
      </c>
      <c r="Q1118" s="70"/>
      <c r="R1118" s="70"/>
      <c r="S1118" s="70"/>
      <c r="T1118" s="70"/>
      <c r="U1118" s="70"/>
      <c r="V1118" s="70"/>
      <c r="W1118" s="70"/>
      <c r="X1118" s="70"/>
      <c r="Y1118" s="70"/>
      <c r="Z1118" s="70"/>
      <c r="AA1118" s="70"/>
      <c r="AB1118" s="70"/>
      <c r="AC1118" s="70"/>
      <c r="AD1118" s="70"/>
      <c r="AE1118" s="70"/>
      <c r="AF1118" s="70"/>
      <c r="AG1118" s="70"/>
      <c r="AH1118" s="70"/>
      <c r="AI1118" s="70"/>
      <c r="AJ1118" s="70"/>
      <c r="AK1118" s="70"/>
      <c r="AL1118" s="70"/>
      <c r="AM1118" s="70"/>
      <c r="AN1118" s="70"/>
      <c r="AO1118" s="70"/>
      <c r="AP1118" s="70"/>
      <c r="AQ1118" s="70"/>
      <c r="AR1118" s="70"/>
      <c r="AS1118" s="70"/>
      <c r="AT1118" s="70"/>
      <c r="AU1118" s="70"/>
      <c r="AV1118" s="71"/>
    </row>
    <row r="1119" spans="1:49" s="65" customFormat="1" ht="16.5" thickBot="1" x14ac:dyDescent="0.3">
      <c r="B1119" s="517"/>
      <c r="C1119" s="515"/>
      <c r="D1119" s="514"/>
      <c r="E1119" s="514"/>
      <c r="F1119" s="514"/>
      <c r="G1119" s="516"/>
      <c r="H1119" s="514"/>
      <c r="I1119" s="514"/>
      <c r="J1119" s="514"/>
      <c r="K1119" s="532">
        <v>5</v>
      </c>
      <c r="L1119" s="533">
        <f>H1059</f>
        <v>33274.700002216967</v>
      </c>
      <c r="M1119" s="534">
        <f>L1119*(1+N1111)^-K1119</f>
        <v>24864.791526322831</v>
      </c>
      <c r="N1119" s="534">
        <f>N1118+M1119</f>
        <v>83132.25595129357</v>
      </c>
      <c r="O1119" s="535">
        <f>L1111-N1119</f>
        <v>-62827.25595129357</v>
      </c>
      <c r="P1119" s="536" t="str">
        <f>IF(O1119&gt;=0,"-",IF(O1118&lt;0,"-",(K1118*365+(O1118/M1119)*365)))</f>
        <v>-</v>
      </c>
      <c r="Q1119" s="514"/>
      <c r="R1119" s="514"/>
      <c r="S1119" s="70"/>
      <c r="T1119" s="70"/>
      <c r="U1119" s="70"/>
      <c r="V1119" s="70"/>
      <c r="W1119" s="70"/>
      <c r="X1119" s="70"/>
      <c r="Y1119" s="70"/>
      <c r="Z1119" s="70"/>
      <c r="AA1119" s="70"/>
      <c r="AB1119" s="70"/>
      <c r="AC1119" s="70"/>
      <c r="AD1119" s="70"/>
      <c r="AE1119" s="70"/>
      <c r="AF1119" s="70"/>
      <c r="AG1119" s="70"/>
      <c r="AH1119" s="70"/>
      <c r="AI1119" s="70"/>
      <c r="AJ1119" s="70"/>
      <c r="AK1119" s="70"/>
      <c r="AL1119" s="70"/>
      <c r="AM1119" s="70"/>
      <c r="AN1119" s="70"/>
      <c r="AO1119" s="70"/>
      <c r="AP1119" s="70"/>
      <c r="AQ1119" s="70"/>
      <c r="AR1119" s="70"/>
      <c r="AS1119" s="70"/>
      <c r="AT1119" s="70"/>
      <c r="AU1119" s="70"/>
      <c r="AV1119" s="71"/>
    </row>
    <row r="1120" spans="1:49" s="65" customFormat="1" ht="16.5" thickBot="1" x14ac:dyDescent="0.3">
      <c r="B1120" s="517"/>
      <c r="C1120" s="540" t="s">
        <v>843</v>
      </c>
      <c r="D1120" s="539" t="s">
        <v>244</v>
      </c>
      <c r="E1120" s="26"/>
      <c r="F1120" s="26"/>
      <c r="G1120" s="26"/>
      <c r="H1120" s="26"/>
      <c r="I1120" s="26"/>
      <c r="J1120" s="70"/>
      <c r="K1120" s="26"/>
      <c r="L1120" s="26"/>
      <c r="M1120" s="26"/>
      <c r="N1120" s="26"/>
      <c r="O1120" s="26"/>
      <c r="P1120" s="26"/>
      <c r="Q1120" s="70"/>
      <c r="R1120" s="70"/>
      <c r="S1120" s="70"/>
      <c r="T1120" s="538" t="s">
        <v>244</v>
      </c>
      <c r="U1120" s="538" t="s">
        <v>195</v>
      </c>
      <c r="V1120" s="538" t="s">
        <v>245</v>
      </c>
      <c r="W1120" s="538" t="s">
        <v>194</v>
      </c>
      <c r="X1120" s="70"/>
      <c r="Y1120" s="70"/>
      <c r="Z1120" s="70"/>
      <c r="AA1120" s="70"/>
      <c r="AB1120" s="70"/>
      <c r="AC1120" s="70"/>
      <c r="AD1120" s="70"/>
      <c r="AE1120" s="70"/>
      <c r="AF1120" s="70"/>
      <c r="AG1120" s="70"/>
      <c r="AH1120" s="70"/>
      <c r="AI1120" s="70"/>
      <c r="AJ1120" s="70"/>
      <c r="AK1120" s="70"/>
      <c r="AL1120" s="70"/>
      <c r="AM1120" s="70"/>
      <c r="AN1120" s="70"/>
      <c r="AO1120" s="70"/>
      <c r="AP1120" s="70"/>
      <c r="AQ1120" s="70"/>
      <c r="AR1120" s="70"/>
      <c r="AS1120" s="70"/>
      <c r="AT1120" s="70"/>
      <c r="AU1120" s="70"/>
      <c r="AV1120" s="71"/>
    </row>
    <row r="1121" spans="1:54" s="12" customFormat="1" ht="16.5" thickBot="1" x14ac:dyDescent="0.3">
      <c r="A1121" s="131"/>
      <c r="B1121" s="33"/>
      <c r="C1121" s="28"/>
      <c r="D1121" s="29"/>
      <c r="E1121" s="424"/>
      <c r="F1121" s="537"/>
      <c r="G1121" s="29"/>
      <c r="H1121" s="30"/>
      <c r="I1121" s="30"/>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2"/>
      <c r="AL1121" s="132"/>
      <c r="AM1121" s="132"/>
      <c r="AN1121" s="132"/>
      <c r="AO1121" s="132"/>
      <c r="AP1121" s="132"/>
      <c r="AQ1121" s="132"/>
      <c r="AR1121" s="132"/>
      <c r="AS1121" s="132"/>
      <c r="AT1121" s="132"/>
      <c r="AU1121" s="132"/>
      <c r="AV1121" s="133"/>
      <c r="AW1121" s="65"/>
      <c r="AX1121" s="65"/>
      <c r="AY1121" s="65"/>
      <c r="AZ1121" s="65"/>
      <c r="BA1121" s="65"/>
      <c r="BB1121" s="65"/>
    </row>
    <row r="1122" spans="1:54" x14ac:dyDescent="0.25">
      <c r="AW1122" s="65"/>
      <c r="AX1122" s="65"/>
      <c r="AY1122" s="65"/>
      <c r="AZ1122" s="65"/>
      <c r="BA1122" s="65"/>
      <c r="BB1122" s="65"/>
    </row>
    <row r="1123" spans="1:54" ht="16.5" thickBot="1" x14ac:dyDescent="0.3">
      <c r="AW1123" s="65"/>
      <c r="AX1123" s="65"/>
      <c r="AY1123" s="65"/>
      <c r="AZ1123" s="65"/>
      <c r="BA1123" s="65"/>
      <c r="BB1123" s="65"/>
    </row>
    <row r="1124" spans="1:54" ht="21.75" thickBot="1" x14ac:dyDescent="0.4">
      <c r="B1124" s="599" t="str">
        <f>Modelo!F31</f>
        <v>Matriz DAFO</v>
      </c>
      <c r="C1124" s="600"/>
      <c r="D1124" s="601"/>
      <c r="E1124" s="50"/>
      <c r="F1124" s="22"/>
      <c r="G1124" s="22"/>
      <c r="H1124" s="22"/>
      <c r="I1124" s="22"/>
      <c r="J1124" s="22"/>
      <c r="K1124" s="22"/>
      <c r="L1124" s="22"/>
      <c r="M1124" s="22"/>
      <c r="N1124" s="22"/>
      <c r="O1124" s="22"/>
      <c r="P1124" s="22"/>
      <c r="Q1124" s="22"/>
      <c r="R1124" s="22"/>
      <c r="S1124" s="22"/>
      <c r="T1124" s="22"/>
      <c r="U1124" s="22"/>
      <c r="V1124" s="22"/>
      <c r="W1124" s="22"/>
      <c r="X1124" s="22"/>
      <c r="Y1124" s="22"/>
      <c r="Z1124" s="22"/>
      <c r="AA1124" s="22"/>
      <c r="AB1124" s="22"/>
      <c r="AC1124" s="22"/>
      <c r="AD1124" s="22"/>
      <c r="AE1124" s="22"/>
      <c r="AF1124" s="22"/>
      <c r="AG1124" s="22"/>
      <c r="AH1124" s="22"/>
      <c r="AI1124" s="22"/>
      <c r="AJ1124" s="22"/>
      <c r="AK1124" s="22"/>
      <c r="AL1124" s="22"/>
      <c r="AM1124" s="22"/>
      <c r="AN1124" s="22"/>
      <c r="AO1124" s="22"/>
      <c r="AP1124" s="22"/>
      <c r="AQ1124" s="22"/>
      <c r="AR1124" s="22"/>
      <c r="AS1124" s="22"/>
      <c r="AT1124" s="22"/>
      <c r="AU1124" s="22"/>
      <c r="AV1124" s="23"/>
      <c r="AW1124" s="65"/>
      <c r="AX1124" s="65"/>
      <c r="AY1124" s="65"/>
      <c r="AZ1124" s="65"/>
      <c r="BA1124" s="65"/>
      <c r="BB1124" s="65"/>
    </row>
    <row r="1125" spans="1:54" ht="15" x14ac:dyDescent="0.25">
      <c r="B1125" s="32"/>
      <c r="C1125" s="26"/>
      <c r="D1125" s="26"/>
      <c r="E1125" s="48"/>
      <c r="F1125" s="26"/>
      <c r="G1125" s="26"/>
      <c r="H1125" s="26"/>
      <c r="I1125" s="26"/>
      <c r="J1125" s="26"/>
      <c r="K1125" s="26"/>
      <c r="L1125" s="26"/>
      <c r="M1125" s="26"/>
      <c r="N1125" s="26"/>
      <c r="O1125" s="26"/>
      <c r="P1125" s="26"/>
      <c r="Q1125" s="26"/>
      <c r="R1125" s="26"/>
      <c r="S1125" s="26"/>
      <c r="T1125" s="26"/>
      <c r="U1125" s="26"/>
      <c r="V1125" s="26"/>
      <c r="W1125" s="26"/>
      <c r="X1125" s="26"/>
      <c r="Y1125" s="26"/>
      <c r="Z1125" s="26"/>
      <c r="AA1125" s="26"/>
      <c r="AB1125" s="26"/>
      <c r="AC1125" s="26"/>
      <c r="AD1125" s="26"/>
      <c r="AE1125" s="26"/>
      <c r="AF1125" s="26"/>
      <c r="AG1125" s="26"/>
      <c r="AH1125" s="26"/>
      <c r="AI1125" s="26"/>
      <c r="AJ1125" s="26"/>
      <c r="AK1125" s="26"/>
      <c r="AL1125" s="26"/>
      <c r="AM1125" s="26"/>
      <c r="AN1125" s="26"/>
      <c r="AO1125" s="26"/>
      <c r="AP1125" s="26"/>
      <c r="AQ1125" s="26"/>
      <c r="AR1125" s="26"/>
      <c r="AS1125" s="26"/>
      <c r="AT1125" s="26"/>
      <c r="AU1125" s="26"/>
      <c r="AV1125" s="27"/>
      <c r="AW1125" s="65"/>
      <c r="AX1125" s="65"/>
      <c r="AY1125" s="65"/>
      <c r="AZ1125" s="65"/>
      <c r="BA1125" s="65"/>
      <c r="BB1125" s="65"/>
    </row>
    <row r="1126" spans="1:54" ht="15" x14ac:dyDescent="0.25">
      <c r="B1126" s="32"/>
      <c r="C1126" s="26"/>
      <c r="D1126" s="26"/>
      <c r="E1126" s="48"/>
      <c r="F1126" s="26"/>
      <c r="G1126" s="26"/>
      <c r="H1126" s="26"/>
      <c r="I1126" s="26"/>
      <c r="J1126" s="26"/>
      <c r="K1126" s="26"/>
      <c r="L1126" s="26"/>
      <c r="M1126" s="26"/>
      <c r="N1126" s="26"/>
      <c r="O1126" s="26"/>
      <c r="P1126" s="26"/>
      <c r="Q1126" s="26"/>
      <c r="R1126" s="26"/>
      <c r="S1126" s="26"/>
      <c r="T1126" s="26"/>
      <c r="U1126" s="26"/>
      <c r="V1126" s="26"/>
      <c r="W1126" s="26"/>
      <c r="X1126" s="26"/>
      <c r="Y1126" s="26"/>
      <c r="Z1126" s="26"/>
      <c r="AA1126" s="26"/>
      <c r="AB1126" s="26"/>
      <c r="AC1126" s="26"/>
      <c r="AD1126" s="26"/>
      <c r="AE1126" s="26"/>
      <c r="AF1126" s="26"/>
      <c r="AG1126" s="26"/>
      <c r="AH1126" s="26"/>
      <c r="AI1126" s="26"/>
      <c r="AJ1126" s="26"/>
      <c r="AK1126" s="26"/>
      <c r="AL1126" s="26"/>
      <c r="AM1126" s="26"/>
      <c r="AN1126" s="26"/>
      <c r="AO1126" s="26"/>
      <c r="AP1126" s="26"/>
      <c r="AQ1126" s="26"/>
      <c r="AR1126" s="26"/>
      <c r="AS1126" s="26"/>
      <c r="AT1126" s="26"/>
      <c r="AU1126" s="26"/>
      <c r="AV1126" s="27"/>
      <c r="AW1126" s="65"/>
      <c r="AX1126" s="65"/>
      <c r="AY1126" s="65"/>
      <c r="AZ1126" s="65"/>
      <c r="BA1126" s="65"/>
      <c r="BB1126" s="65"/>
    </row>
    <row r="1127" spans="1:54" ht="15" x14ac:dyDescent="0.25">
      <c r="B1127" s="32"/>
      <c r="C1127" s="26"/>
      <c r="D1127" s="26"/>
      <c r="E1127" s="48"/>
      <c r="F1127" s="26"/>
      <c r="G1127" s="26"/>
      <c r="H1127" s="26"/>
      <c r="I1127" s="26"/>
      <c r="J1127" s="26"/>
      <c r="K1127" s="26"/>
      <c r="L1127" s="26"/>
      <c r="M1127" s="26"/>
      <c r="N1127" s="26"/>
      <c r="O1127" s="26"/>
      <c r="P1127" s="26"/>
      <c r="Q1127" s="26"/>
      <c r="R1127" s="26"/>
      <c r="S1127" s="26"/>
      <c r="T1127" s="26"/>
      <c r="U1127" s="26"/>
      <c r="V1127" s="26"/>
      <c r="W1127" s="26"/>
      <c r="X1127" s="26"/>
      <c r="Y1127" s="26"/>
      <c r="Z1127" s="26"/>
      <c r="AA1127" s="26"/>
      <c r="AB1127" s="26"/>
      <c r="AC1127" s="26"/>
      <c r="AD1127" s="26"/>
      <c r="AE1127" s="26"/>
      <c r="AF1127" s="26"/>
      <c r="AG1127" s="26"/>
      <c r="AH1127" s="26"/>
      <c r="AI1127" s="26"/>
      <c r="AJ1127" s="26"/>
      <c r="AK1127" s="26"/>
      <c r="AL1127" s="26"/>
      <c r="AM1127" s="26"/>
      <c r="AN1127" s="26"/>
      <c r="AO1127" s="26"/>
      <c r="AP1127" s="26"/>
      <c r="AQ1127" s="26"/>
      <c r="AR1127" s="26"/>
      <c r="AS1127" s="26"/>
      <c r="AT1127" s="26"/>
      <c r="AU1127" s="26"/>
      <c r="AV1127" s="27"/>
      <c r="AW1127" s="65"/>
      <c r="AX1127" s="65"/>
      <c r="AY1127" s="65"/>
      <c r="AZ1127" s="65"/>
      <c r="BA1127" s="65"/>
      <c r="BB1127" s="65"/>
    </row>
    <row r="1128" spans="1:54" ht="15" x14ac:dyDescent="0.25">
      <c r="B1128" s="32"/>
      <c r="C1128" s="26"/>
      <c r="D1128" s="26"/>
      <c r="E1128" s="48"/>
      <c r="F1128" s="26"/>
      <c r="G1128" s="26"/>
      <c r="H1128" s="26"/>
      <c r="I1128" s="26"/>
      <c r="J1128" s="26"/>
      <c r="K1128" s="26"/>
      <c r="L1128" s="26"/>
      <c r="M1128" s="26"/>
      <c r="N1128" s="26"/>
      <c r="O1128" s="26"/>
      <c r="P1128" s="26"/>
      <c r="Q1128" s="26"/>
      <c r="R1128" s="26"/>
      <c r="S1128" s="26"/>
      <c r="T1128" s="26"/>
      <c r="U1128" s="26"/>
      <c r="V1128" s="26"/>
      <c r="W1128" s="26"/>
      <c r="X1128" s="26"/>
      <c r="Y1128" s="26"/>
      <c r="Z1128" s="26"/>
      <c r="AA1128" s="26"/>
      <c r="AB1128" s="26"/>
      <c r="AC1128" s="26"/>
      <c r="AD1128" s="26"/>
      <c r="AE1128" s="26"/>
      <c r="AF1128" s="26"/>
      <c r="AG1128" s="26"/>
      <c r="AH1128" s="26"/>
      <c r="AI1128" s="26"/>
      <c r="AJ1128" s="26"/>
      <c r="AK1128" s="26"/>
      <c r="AL1128" s="26"/>
      <c r="AM1128" s="26"/>
      <c r="AN1128" s="26"/>
      <c r="AO1128" s="26"/>
      <c r="AP1128" s="26"/>
      <c r="AQ1128" s="26"/>
      <c r="AR1128" s="26"/>
      <c r="AS1128" s="26"/>
      <c r="AT1128" s="26"/>
      <c r="AU1128" s="26"/>
      <c r="AV1128" s="27"/>
      <c r="AW1128" s="65"/>
      <c r="AX1128" s="65"/>
      <c r="AY1128" s="65"/>
      <c r="AZ1128" s="65"/>
      <c r="BA1128" s="65"/>
      <c r="BB1128" s="65"/>
    </row>
    <row r="1129" spans="1:54" ht="15" x14ac:dyDescent="0.25">
      <c r="B1129" s="32"/>
      <c r="C1129" s="26"/>
      <c r="D1129" s="26"/>
      <c r="E1129" s="48"/>
      <c r="F1129" s="26"/>
      <c r="G1129" s="26"/>
      <c r="H1129" s="26"/>
      <c r="I1129" s="26"/>
      <c r="J1129" s="26"/>
      <c r="K1129" s="26"/>
      <c r="L1129" s="26"/>
      <c r="M1129" s="26"/>
      <c r="N1129" s="26"/>
      <c r="O1129" s="26"/>
      <c r="P1129" s="26"/>
      <c r="Q1129" s="26"/>
      <c r="R1129" s="26"/>
      <c r="S1129" s="26"/>
      <c r="T1129" s="26"/>
      <c r="U1129" s="26"/>
      <c r="V1129" s="26"/>
      <c r="W1129" s="26"/>
      <c r="X1129" s="26"/>
      <c r="Y1129" s="26"/>
      <c r="Z1129" s="26"/>
      <c r="AA1129" s="26"/>
      <c r="AB1129" s="26"/>
      <c r="AC1129" s="26"/>
      <c r="AD1129" s="26"/>
      <c r="AE1129" s="26"/>
      <c r="AF1129" s="26"/>
      <c r="AG1129" s="26"/>
      <c r="AH1129" s="26"/>
      <c r="AI1129" s="26"/>
      <c r="AJ1129" s="26"/>
      <c r="AK1129" s="26"/>
      <c r="AL1129" s="26"/>
      <c r="AM1129" s="26"/>
      <c r="AN1129" s="26"/>
      <c r="AO1129" s="26"/>
      <c r="AP1129" s="26"/>
      <c r="AQ1129" s="26"/>
      <c r="AR1129" s="26"/>
      <c r="AS1129" s="26"/>
      <c r="AT1129" s="26"/>
      <c r="AU1129" s="26"/>
      <c r="AV1129" s="27"/>
      <c r="AW1129" s="65"/>
      <c r="AX1129" s="65"/>
      <c r="AY1129" s="65"/>
      <c r="AZ1129" s="65"/>
      <c r="BA1129" s="65"/>
      <c r="BB1129" s="65"/>
    </row>
    <row r="1130" spans="1:54" thickBot="1" x14ac:dyDescent="0.3">
      <c r="B1130" s="32"/>
      <c r="C1130" s="26"/>
      <c r="D1130" s="26"/>
      <c r="E1130" s="48"/>
      <c r="F1130" s="26"/>
      <c r="G1130" s="26"/>
      <c r="H1130" s="26"/>
      <c r="I1130" s="26"/>
      <c r="J1130" s="26"/>
      <c r="K1130" s="26"/>
      <c r="L1130" s="26"/>
      <c r="M1130" s="26"/>
      <c r="N1130" s="26"/>
      <c r="O1130" s="26"/>
      <c r="P1130" s="26"/>
      <c r="Q1130" s="26"/>
      <c r="R1130" s="26"/>
      <c r="S1130" s="26"/>
      <c r="T1130" s="26"/>
      <c r="U1130" s="26"/>
      <c r="V1130" s="26"/>
      <c r="W1130" s="26"/>
      <c r="X1130" s="26"/>
      <c r="Y1130" s="26"/>
      <c r="Z1130" s="26"/>
      <c r="AA1130" s="26"/>
      <c r="AB1130" s="26"/>
      <c r="AC1130" s="26"/>
      <c r="AD1130" s="26"/>
      <c r="AE1130" s="26"/>
      <c r="AF1130" s="26"/>
      <c r="AG1130" s="26"/>
      <c r="AH1130" s="26"/>
      <c r="AI1130" s="26"/>
      <c r="AJ1130" s="26"/>
      <c r="AK1130" s="26"/>
      <c r="AL1130" s="26"/>
      <c r="AM1130" s="26"/>
      <c r="AN1130" s="26"/>
      <c r="AO1130" s="26"/>
      <c r="AP1130" s="26"/>
      <c r="AQ1130" s="26"/>
      <c r="AR1130" s="26"/>
      <c r="AS1130" s="26"/>
      <c r="AT1130" s="26"/>
      <c r="AU1130" s="26"/>
      <c r="AV1130" s="27"/>
      <c r="AW1130" s="65"/>
      <c r="AX1130" s="65"/>
      <c r="AY1130" s="65"/>
      <c r="AZ1130" s="65"/>
      <c r="BA1130" s="65"/>
      <c r="BB1130" s="65"/>
    </row>
    <row r="1131" spans="1:54" ht="29.25" customHeight="1" thickBot="1" x14ac:dyDescent="0.3">
      <c r="B1131" s="32"/>
      <c r="C1131" s="26"/>
      <c r="D1131" s="26"/>
      <c r="E1131" s="677" t="s">
        <v>761</v>
      </c>
      <c r="F1131" s="678"/>
      <c r="G1131" s="678"/>
      <c r="H1131" s="678"/>
      <c r="I1131" s="678"/>
      <c r="J1131" s="678"/>
      <c r="K1131" s="679"/>
      <c r="L1131" s="26"/>
      <c r="M1131" s="677" t="s">
        <v>762</v>
      </c>
      <c r="N1131" s="678"/>
      <c r="O1131" s="678"/>
      <c r="P1131" s="678"/>
      <c r="Q1131" s="678"/>
      <c r="R1131" s="678"/>
      <c r="S1131" s="679"/>
      <c r="T1131" s="26"/>
      <c r="U1131" s="26"/>
      <c r="V1131" s="26"/>
      <c r="W1131" s="26"/>
      <c r="X1131" s="26"/>
      <c r="Y1131" s="26"/>
      <c r="Z1131" s="26"/>
      <c r="AA1131" s="26"/>
      <c r="AB1131" s="26"/>
      <c r="AC1131" s="26"/>
      <c r="AD1131" s="26"/>
      <c r="AE1131" s="26"/>
      <c r="AF1131" s="26"/>
      <c r="AG1131" s="26"/>
      <c r="AH1131" s="26"/>
      <c r="AI1131" s="26"/>
      <c r="AJ1131" s="26"/>
      <c r="AK1131" s="26"/>
      <c r="AL1131" s="26"/>
      <c r="AM1131" s="26"/>
      <c r="AN1131" s="26"/>
      <c r="AO1131" s="26"/>
      <c r="AP1131" s="26"/>
      <c r="AQ1131" s="26"/>
      <c r="AR1131" s="26"/>
      <c r="AS1131" s="26"/>
      <c r="AT1131" s="26"/>
      <c r="AU1131" s="26"/>
      <c r="AV1131" s="27"/>
      <c r="AW1131" s="65"/>
      <c r="AX1131" s="65"/>
      <c r="AY1131" s="65"/>
      <c r="AZ1131" s="65"/>
      <c r="BA1131" s="65"/>
      <c r="BB1131" s="65"/>
    </row>
    <row r="1132" spans="1:54" thickBot="1" x14ac:dyDescent="0.3">
      <c r="B1132" s="32"/>
      <c r="C1132" s="26"/>
      <c r="D1132" s="26"/>
      <c r="E1132" s="26"/>
      <c r="F1132" s="26"/>
      <c r="G1132" s="26"/>
      <c r="H1132" s="26"/>
      <c r="I1132" s="26"/>
      <c r="J1132" s="26"/>
      <c r="K1132" s="26"/>
      <c r="L1132" s="26"/>
      <c r="M1132" s="26"/>
      <c r="N1132" s="26"/>
      <c r="O1132" s="26"/>
      <c r="P1132" s="26"/>
      <c r="Q1132" s="26"/>
      <c r="R1132" s="26"/>
      <c r="S1132" s="26"/>
      <c r="T1132" s="26"/>
      <c r="U1132" s="26"/>
      <c r="V1132" s="26"/>
      <c r="W1132" s="26"/>
      <c r="X1132" s="26"/>
      <c r="Y1132" s="26"/>
      <c r="Z1132" s="26"/>
      <c r="AA1132" s="26"/>
      <c r="AB1132" s="26"/>
      <c r="AC1132" s="26"/>
      <c r="AD1132" s="26"/>
      <c r="AE1132" s="26"/>
      <c r="AF1132" s="26"/>
      <c r="AG1132" s="26"/>
      <c r="AH1132" s="26"/>
      <c r="AI1132" s="26"/>
      <c r="AJ1132" s="26"/>
      <c r="AK1132" s="26"/>
      <c r="AL1132" s="26"/>
      <c r="AM1132" s="26"/>
      <c r="AN1132" s="26"/>
      <c r="AO1132" s="26"/>
      <c r="AP1132" s="26"/>
      <c r="AQ1132" s="26"/>
      <c r="AR1132" s="26"/>
      <c r="AS1132" s="26"/>
      <c r="AT1132" s="26"/>
      <c r="AU1132" s="26"/>
      <c r="AV1132" s="27"/>
      <c r="AW1132" s="65"/>
      <c r="AX1132" s="65"/>
      <c r="AY1132" s="65"/>
      <c r="AZ1132" s="65"/>
      <c r="BA1132" s="65"/>
      <c r="BB1132" s="65"/>
    </row>
    <row r="1133" spans="1:54" ht="39" customHeight="1" thickBot="1" x14ac:dyDescent="0.55000000000000004">
      <c r="B1133" s="32"/>
      <c r="C1133" s="26"/>
      <c r="D1133" s="26"/>
      <c r="E1133" s="680" t="s">
        <v>645</v>
      </c>
      <c r="F1133" s="681"/>
      <c r="G1133" s="681"/>
      <c r="H1133" s="681"/>
      <c r="I1133" s="681"/>
      <c r="J1133" s="681"/>
      <c r="K1133" s="682"/>
      <c r="L1133" s="26"/>
      <c r="M1133" s="689" t="s">
        <v>646</v>
      </c>
      <c r="N1133" s="690"/>
      <c r="O1133" s="690"/>
      <c r="P1133" s="690"/>
      <c r="Q1133" s="690"/>
      <c r="R1133" s="690"/>
      <c r="S1133" s="691"/>
      <c r="T1133" s="26"/>
      <c r="U1133" s="26"/>
      <c r="V1133" s="26"/>
      <c r="W1133" s="26"/>
      <c r="X1133" s="26"/>
      <c r="Y1133" s="26"/>
      <c r="Z1133" s="26"/>
      <c r="AA1133" s="26"/>
      <c r="AB1133" s="26"/>
      <c r="AC1133" s="26"/>
      <c r="AD1133" s="26"/>
      <c r="AE1133" s="26"/>
      <c r="AF1133" s="26"/>
      <c r="AG1133" s="26"/>
      <c r="AH1133" s="26"/>
      <c r="AI1133" s="26"/>
      <c r="AJ1133" s="26"/>
      <c r="AK1133" s="26"/>
      <c r="AL1133" s="26"/>
      <c r="AM1133" s="26"/>
      <c r="AN1133" s="26"/>
      <c r="AO1133" s="26"/>
      <c r="AP1133" s="26"/>
      <c r="AQ1133" s="26"/>
      <c r="AR1133" s="26"/>
      <c r="AS1133" s="26"/>
      <c r="AT1133" s="26"/>
      <c r="AU1133" s="26"/>
      <c r="AV1133" s="27"/>
      <c r="AW1133" s="65"/>
      <c r="AX1133" s="65"/>
      <c r="AY1133" s="65"/>
      <c r="AZ1133" s="65"/>
      <c r="BA1133" s="65"/>
      <c r="BB1133" s="65"/>
    </row>
    <row r="1134" spans="1:54" thickBot="1" x14ac:dyDescent="0.3">
      <c r="B1134" s="32"/>
      <c r="C1134" s="26"/>
      <c r="D1134" s="26"/>
      <c r="E1134" s="458"/>
      <c r="F1134" s="26"/>
      <c r="G1134" s="26"/>
      <c r="H1134" s="26"/>
      <c r="I1134" s="26"/>
      <c r="J1134" s="26"/>
      <c r="K1134" s="26"/>
      <c r="L1134" s="26"/>
      <c r="M1134" s="458"/>
      <c r="N1134" s="26"/>
      <c r="O1134" s="26"/>
      <c r="P1134" s="26"/>
      <c r="Q1134" s="26"/>
      <c r="R1134" s="26"/>
      <c r="S1134" s="26"/>
      <c r="T1134" s="26"/>
      <c r="U1134" s="26"/>
      <c r="V1134" s="26"/>
      <c r="W1134" s="26"/>
      <c r="X1134" s="26"/>
      <c r="Y1134" s="26"/>
      <c r="Z1134" s="26"/>
      <c r="AA1134" s="26"/>
      <c r="AB1134" s="26"/>
      <c r="AC1134" s="26"/>
      <c r="AD1134" s="26"/>
      <c r="AE1134" s="26"/>
      <c r="AF1134" s="26"/>
      <c r="AG1134" s="26"/>
      <c r="AH1134" s="26"/>
      <c r="AI1134" s="26"/>
      <c r="AJ1134" s="26"/>
      <c r="AK1134" s="26"/>
      <c r="AL1134" s="26"/>
      <c r="AM1134" s="26"/>
      <c r="AN1134" s="26"/>
      <c r="AO1134" s="26"/>
      <c r="AP1134" s="26"/>
      <c r="AQ1134" s="26"/>
      <c r="AR1134" s="26"/>
      <c r="AS1134" s="26"/>
      <c r="AT1134" s="26"/>
      <c r="AU1134" s="26"/>
      <c r="AV1134" s="27"/>
      <c r="AW1134" s="65"/>
      <c r="AX1134" s="65"/>
      <c r="AY1134" s="65"/>
      <c r="AZ1134" s="65"/>
      <c r="BA1134" s="65"/>
      <c r="BB1134" s="65"/>
    </row>
    <row r="1135" spans="1:54" ht="18.75" x14ac:dyDescent="0.25">
      <c r="B1135" s="32"/>
      <c r="C1135" s="624" t="s">
        <v>755</v>
      </c>
      <c r="D1135" s="26"/>
      <c r="E1135" s="661" t="s">
        <v>647</v>
      </c>
      <c r="F1135" s="662"/>
      <c r="G1135" s="662"/>
      <c r="H1135" s="662"/>
      <c r="I1135" s="662"/>
      <c r="J1135" s="662"/>
      <c r="K1135" s="663"/>
      <c r="L1135" s="70"/>
      <c r="M1135" s="661" t="s">
        <v>648</v>
      </c>
      <c r="N1135" s="662"/>
      <c r="O1135" s="662"/>
      <c r="P1135" s="662"/>
      <c r="Q1135" s="662"/>
      <c r="R1135" s="662"/>
      <c r="S1135" s="663"/>
      <c r="T1135" s="26"/>
      <c r="U1135" s="26"/>
      <c r="V1135" s="26"/>
      <c r="W1135" s="26"/>
      <c r="X1135" s="26"/>
      <c r="Y1135" s="26"/>
      <c r="Z1135" s="26"/>
      <c r="AA1135" s="26"/>
      <c r="AB1135" s="26"/>
      <c r="AC1135" s="26"/>
      <c r="AD1135" s="26"/>
      <c r="AE1135" s="26"/>
      <c r="AF1135" s="26"/>
      <c r="AG1135" s="26"/>
      <c r="AH1135" s="26"/>
      <c r="AI1135" s="26"/>
      <c r="AJ1135" s="26"/>
      <c r="AK1135" s="26"/>
      <c r="AL1135" s="26"/>
      <c r="AM1135" s="26"/>
      <c r="AN1135" s="26"/>
      <c r="AO1135" s="26"/>
      <c r="AP1135" s="26"/>
      <c r="AQ1135" s="26"/>
      <c r="AR1135" s="26"/>
      <c r="AS1135" s="26"/>
      <c r="AT1135" s="26"/>
      <c r="AU1135" s="26"/>
      <c r="AV1135" s="27"/>
      <c r="AW1135" s="65"/>
      <c r="AX1135" s="65"/>
      <c r="AY1135" s="65"/>
      <c r="AZ1135" s="65"/>
      <c r="BA1135" s="65"/>
      <c r="BB1135" s="65"/>
    </row>
    <row r="1136" spans="1:54" ht="18.75" x14ac:dyDescent="0.25">
      <c r="B1136" s="32"/>
      <c r="C1136" s="625"/>
      <c r="D1136" s="26"/>
      <c r="E1136" s="664" t="s">
        <v>649</v>
      </c>
      <c r="F1136" s="665"/>
      <c r="G1136" s="665"/>
      <c r="H1136" s="665"/>
      <c r="I1136" s="665"/>
      <c r="J1136" s="665"/>
      <c r="K1136" s="666"/>
      <c r="L1136" s="70"/>
      <c r="M1136" s="664" t="s">
        <v>650</v>
      </c>
      <c r="N1136" s="665"/>
      <c r="O1136" s="665"/>
      <c r="P1136" s="665"/>
      <c r="Q1136" s="665"/>
      <c r="R1136" s="665"/>
      <c r="S1136" s="666"/>
      <c r="T1136" s="26"/>
      <c r="U1136" s="26"/>
      <c r="V1136" s="26"/>
      <c r="W1136" s="26"/>
      <c r="X1136" s="26"/>
      <c r="Y1136" s="26"/>
      <c r="Z1136" s="26"/>
      <c r="AA1136" s="26"/>
      <c r="AB1136" s="26"/>
      <c r="AC1136" s="26"/>
      <c r="AD1136" s="26"/>
      <c r="AE1136" s="26"/>
      <c r="AF1136" s="26"/>
      <c r="AG1136" s="26"/>
      <c r="AH1136" s="26"/>
      <c r="AI1136" s="26"/>
      <c r="AJ1136" s="26"/>
      <c r="AK1136" s="26"/>
      <c r="AL1136" s="26"/>
      <c r="AM1136" s="26"/>
      <c r="AN1136" s="26"/>
      <c r="AO1136" s="26"/>
      <c r="AP1136" s="26"/>
      <c r="AQ1136" s="26"/>
      <c r="AR1136" s="26"/>
      <c r="AS1136" s="26"/>
      <c r="AT1136" s="26"/>
      <c r="AU1136" s="26"/>
      <c r="AV1136" s="27"/>
      <c r="AW1136" s="65"/>
      <c r="AX1136" s="65"/>
      <c r="AY1136" s="65"/>
      <c r="AZ1136" s="65"/>
      <c r="BA1136" s="65"/>
      <c r="BB1136" s="65"/>
    </row>
    <row r="1137" spans="2:54" ht="19.5" thickBot="1" x14ac:dyDescent="0.35">
      <c r="B1137" s="32"/>
      <c r="C1137" s="626"/>
      <c r="D1137" s="26"/>
      <c r="E1137" s="686" t="s">
        <v>752</v>
      </c>
      <c r="F1137" s="687"/>
      <c r="G1137" s="687"/>
      <c r="H1137" s="687"/>
      <c r="I1137" s="687"/>
      <c r="J1137" s="687"/>
      <c r="K1137" s="688"/>
      <c r="L1137" s="70"/>
      <c r="M1137" s="686" t="s">
        <v>754</v>
      </c>
      <c r="N1137" s="687"/>
      <c r="O1137" s="687"/>
      <c r="P1137" s="687"/>
      <c r="Q1137" s="687"/>
      <c r="R1137" s="687"/>
      <c r="S1137" s="688"/>
      <c r="T1137" s="26"/>
      <c r="U1137" s="26"/>
      <c r="V1137" s="26"/>
      <c r="W1137" s="26"/>
      <c r="X1137" s="26"/>
      <c r="Y1137" s="26"/>
      <c r="Z1137" s="26"/>
      <c r="AA1137" s="26"/>
      <c r="AB1137" s="26"/>
      <c r="AC1137" s="26"/>
      <c r="AD1137" s="26"/>
      <c r="AE1137" s="26"/>
      <c r="AF1137" s="26"/>
      <c r="AG1137" s="26"/>
      <c r="AH1137" s="26"/>
      <c r="AI1137" s="26"/>
      <c r="AJ1137" s="26"/>
      <c r="AK1137" s="26"/>
      <c r="AL1137" s="26"/>
      <c r="AM1137" s="26"/>
      <c r="AN1137" s="26"/>
      <c r="AO1137" s="26"/>
      <c r="AP1137" s="26"/>
      <c r="AQ1137" s="26"/>
      <c r="AR1137" s="26"/>
      <c r="AS1137" s="26"/>
      <c r="AT1137" s="26"/>
      <c r="AU1137" s="26"/>
      <c r="AV1137" s="27"/>
      <c r="AW1137" s="65"/>
      <c r="AX1137" s="65"/>
      <c r="AY1137" s="65"/>
      <c r="AZ1137" s="65"/>
      <c r="BA1137" s="65"/>
      <c r="BB1137" s="65"/>
    </row>
    <row r="1138" spans="2:54" thickBot="1" x14ac:dyDescent="0.3">
      <c r="B1138" s="32"/>
      <c r="C1138" s="26"/>
      <c r="D1138" s="26"/>
      <c r="E1138" s="70"/>
      <c r="F1138" s="70"/>
      <c r="G1138" s="70"/>
      <c r="H1138" s="70"/>
      <c r="I1138" s="70"/>
      <c r="J1138" s="70"/>
      <c r="K1138" s="70"/>
      <c r="L1138" s="70"/>
      <c r="M1138" s="70"/>
      <c r="N1138" s="26"/>
      <c r="O1138" s="26"/>
      <c r="P1138" s="26"/>
      <c r="Q1138" s="26"/>
      <c r="R1138" s="26"/>
      <c r="S1138" s="26"/>
      <c r="T1138" s="26"/>
      <c r="U1138" s="26"/>
      <c r="V1138" s="26"/>
      <c r="W1138" s="26"/>
      <c r="X1138" s="26"/>
      <c r="Y1138" s="26"/>
      <c r="Z1138" s="26"/>
      <c r="AA1138" s="26"/>
      <c r="AB1138" s="26"/>
      <c r="AC1138" s="26"/>
      <c r="AD1138" s="26"/>
      <c r="AE1138" s="26"/>
      <c r="AF1138" s="26"/>
      <c r="AG1138" s="26"/>
      <c r="AH1138" s="26"/>
      <c r="AI1138" s="26"/>
      <c r="AJ1138" s="26"/>
      <c r="AK1138" s="26"/>
      <c r="AL1138" s="26"/>
      <c r="AM1138" s="26"/>
      <c r="AN1138" s="26"/>
      <c r="AO1138" s="26"/>
      <c r="AP1138" s="26"/>
      <c r="AQ1138" s="26"/>
      <c r="AR1138" s="26"/>
      <c r="AS1138" s="26"/>
      <c r="AT1138" s="26"/>
      <c r="AU1138" s="26"/>
      <c r="AV1138" s="27"/>
      <c r="AW1138" s="65"/>
      <c r="AX1138" s="65"/>
      <c r="AY1138" s="65"/>
      <c r="AZ1138" s="65"/>
      <c r="BA1138" s="65"/>
      <c r="BB1138" s="65"/>
    </row>
    <row r="1139" spans="2:54" ht="32.25" thickBot="1" x14ac:dyDescent="0.55000000000000004">
      <c r="B1139" s="32"/>
      <c r="C1139" s="26"/>
      <c r="D1139" s="26"/>
      <c r="E1139" s="683" t="s">
        <v>651</v>
      </c>
      <c r="F1139" s="684"/>
      <c r="G1139" s="684"/>
      <c r="H1139" s="684"/>
      <c r="I1139" s="684"/>
      <c r="J1139" s="684"/>
      <c r="K1139" s="685"/>
      <c r="L1139" s="70"/>
      <c r="M1139" s="692" t="s">
        <v>652</v>
      </c>
      <c r="N1139" s="693"/>
      <c r="O1139" s="693"/>
      <c r="P1139" s="693"/>
      <c r="Q1139" s="693"/>
      <c r="R1139" s="693"/>
      <c r="S1139" s="694"/>
      <c r="T1139" s="26"/>
      <c r="U1139" s="26"/>
      <c r="V1139" s="26"/>
      <c r="W1139" s="26"/>
      <c r="X1139" s="26"/>
      <c r="Y1139" s="26"/>
      <c r="Z1139" s="26"/>
      <c r="AA1139" s="26"/>
      <c r="AB1139" s="26"/>
      <c r="AC1139" s="26"/>
      <c r="AD1139" s="26"/>
      <c r="AE1139" s="26"/>
      <c r="AF1139" s="26"/>
      <c r="AG1139" s="26"/>
      <c r="AH1139" s="26"/>
      <c r="AI1139" s="26"/>
      <c r="AJ1139" s="26"/>
      <c r="AK1139" s="26"/>
      <c r="AL1139" s="26"/>
      <c r="AM1139" s="26"/>
      <c r="AN1139" s="26"/>
      <c r="AO1139" s="26"/>
      <c r="AP1139" s="26"/>
      <c r="AQ1139" s="26"/>
      <c r="AR1139" s="26"/>
      <c r="AS1139" s="26"/>
      <c r="AT1139" s="26"/>
      <c r="AU1139" s="26"/>
      <c r="AV1139" s="27"/>
      <c r="AW1139" s="65"/>
      <c r="AX1139" s="65"/>
      <c r="AY1139" s="65"/>
      <c r="AZ1139" s="65"/>
      <c r="BA1139" s="65"/>
      <c r="BB1139" s="65"/>
    </row>
    <row r="1140" spans="2:54" thickBot="1" x14ac:dyDescent="0.3">
      <c r="B1140" s="32"/>
      <c r="C1140" s="26"/>
      <c r="D1140" s="26"/>
      <c r="E1140" s="459"/>
      <c r="F1140" s="70"/>
      <c r="G1140" s="70"/>
      <c r="H1140" s="70"/>
      <c r="I1140" s="70"/>
      <c r="J1140" s="70"/>
      <c r="K1140" s="70"/>
      <c r="L1140" s="70"/>
      <c r="M1140" s="459"/>
      <c r="N1140" s="26"/>
      <c r="O1140" s="26"/>
      <c r="P1140" s="26"/>
      <c r="Q1140" s="26"/>
      <c r="R1140" s="26"/>
      <c r="S1140" s="26"/>
      <c r="T1140" s="26"/>
      <c r="U1140" s="26"/>
      <c r="V1140" s="26"/>
      <c r="W1140" s="26"/>
      <c r="X1140" s="26"/>
      <c r="Y1140" s="26"/>
      <c r="Z1140" s="26"/>
      <c r="AA1140" s="26"/>
      <c r="AB1140" s="26"/>
      <c r="AC1140" s="26"/>
      <c r="AD1140" s="26"/>
      <c r="AE1140" s="26"/>
      <c r="AF1140" s="26"/>
      <c r="AG1140" s="26"/>
      <c r="AH1140" s="26"/>
      <c r="AI1140" s="26"/>
      <c r="AJ1140" s="26"/>
      <c r="AK1140" s="26"/>
      <c r="AL1140" s="26"/>
      <c r="AM1140" s="26"/>
      <c r="AN1140" s="26"/>
      <c r="AO1140" s="26"/>
      <c r="AP1140" s="26"/>
      <c r="AQ1140" s="26"/>
      <c r="AR1140" s="26"/>
      <c r="AS1140" s="26"/>
      <c r="AT1140" s="26"/>
      <c r="AU1140" s="26"/>
      <c r="AV1140" s="27"/>
      <c r="AW1140" s="65"/>
      <c r="AX1140" s="65"/>
      <c r="AY1140" s="65"/>
      <c r="AZ1140" s="65"/>
      <c r="BA1140" s="65"/>
      <c r="BB1140" s="65"/>
    </row>
    <row r="1141" spans="2:54" ht="15" customHeight="1" x14ac:dyDescent="0.25">
      <c r="B1141" s="32"/>
      <c r="C1141" s="624" t="s">
        <v>756</v>
      </c>
      <c r="D1141" s="26"/>
      <c r="E1141" s="661" t="s">
        <v>751</v>
      </c>
      <c r="F1141" s="662"/>
      <c r="G1141" s="662"/>
      <c r="H1141" s="662"/>
      <c r="I1141" s="662"/>
      <c r="J1141" s="662"/>
      <c r="K1141" s="663"/>
      <c r="L1141" s="70"/>
      <c r="M1141" s="661" t="s">
        <v>653</v>
      </c>
      <c r="N1141" s="662"/>
      <c r="O1141" s="662"/>
      <c r="P1141" s="662"/>
      <c r="Q1141" s="662"/>
      <c r="R1141" s="662"/>
      <c r="S1141" s="663"/>
      <c r="T1141" s="26"/>
      <c r="U1141" s="26"/>
      <c r="V1141" s="26"/>
      <c r="W1141" s="26"/>
      <c r="X1141" s="26"/>
      <c r="Y1141" s="26"/>
      <c r="Z1141" s="26"/>
      <c r="AA1141" s="26"/>
      <c r="AB1141" s="26"/>
      <c r="AC1141" s="26"/>
      <c r="AD1141" s="26"/>
      <c r="AE1141" s="26"/>
      <c r="AF1141" s="26"/>
      <c r="AG1141" s="26"/>
      <c r="AH1141" s="26"/>
      <c r="AI1141" s="26"/>
      <c r="AJ1141" s="26"/>
      <c r="AK1141" s="26"/>
      <c r="AL1141" s="26"/>
      <c r="AM1141" s="26"/>
      <c r="AN1141" s="26"/>
      <c r="AO1141" s="26"/>
      <c r="AP1141" s="26"/>
      <c r="AQ1141" s="26"/>
      <c r="AR1141" s="26"/>
      <c r="AS1141" s="26"/>
      <c r="AT1141" s="26"/>
      <c r="AU1141" s="26"/>
      <c r="AV1141" s="27"/>
      <c r="AW1141" s="65"/>
      <c r="AX1141" s="65"/>
      <c r="AY1141" s="65"/>
      <c r="AZ1141" s="65"/>
      <c r="BA1141" s="65"/>
      <c r="BB1141" s="65"/>
    </row>
    <row r="1142" spans="2:54" ht="18.75" x14ac:dyDescent="0.25">
      <c r="B1142" s="32"/>
      <c r="C1142" s="625"/>
      <c r="D1142" s="26"/>
      <c r="E1142" s="664" t="s">
        <v>654</v>
      </c>
      <c r="F1142" s="665"/>
      <c r="G1142" s="665"/>
      <c r="H1142" s="665"/>
      <c r="I1142" s="665"/>
      <c r="J1142" s="665"/>
      <c r="K1142" s="666"/>
      <c r="L1142" s="70"/>
      <c r="M1142" s="664" t="s">
        <v>655</v>
      </c>
      <c r="N1142" s="665"/>
      <c r="O1142" s="665"/>
      <c r="P1142" s="665"/>
      <c r="Q1142" s="665"/>
      <c r="R1142" s="665"/>
      <c r="S1142" s="666"/>
      <c r="T1142" s="26"/>
      <c r="U1142" s="26"/>
      <c r="V1142" s="26"/>
      <c r="W1142" s="26"/>
      <c r="X1142" s="26"/>
      <c r="Y1142" s="26"/>
      <c r="Z1142" s="26"/>
      <c r="AA1142" s="26"/>
      <c r="AB1142" s="26"/>
      <c r="AC1142" s="26"/>
      <c r="AD1142" s="26"/>
      <c r="AE1142" s="26"/>
      <c r="AF1142" s="26"/>
      <c r="AG1142" s="26"/>
      <c r="AH1142" s="26"/>
      <c r="AI1142" s="26"/>
      <c r="AJ1142" s="26"/>
      <c r="AK1142" s="26"/>
      <c r="AL1142" s="26"/>
      <c r="AM1142" s="26"/>
      <c r="AN1142" s="26"/>
      <c r="AO1142" s="26"/>
      <c r="AP1142" s="26"/>
      <c r="AQ1142" s="26"/>
      <c r="AR1142" s="26"/>
      <c r="AS1142" s="26"/>
      <c r="AT1142" s="26"/>
      <c r="AU1142" s="26"/>
      <c r="AV1142" s="27"/>
      <c r="AW1142" s="65"/>
      <c r="AX1142" s="65"/>
      <c r="AY1142" s="65"/>
      <c r="AZ1142" s="65"/>
      <c r="BA1142" s="65"/>
      <c r="BB1142" s="65"/>
    </row>
    <row r="1143" spans="2:54" ht="19.5" thickBot="1" x14ac:dyDescent="0.35">
      <c r="B1143" s="32"/>
      <c r="C1143" s="626"/>
      <c r="D1143" s="26"/>
      <c r="E1143" s="686" t="s">
        <v>753</v>
      </c>
      <c r="F1143" s="687"/>
      <c r="G1143" s="687"/>
      <c r="H1143" s="687"/>
      <c r="I1143" s="687"/>
      <c r="J1143" s="687"/>
      <c r="K1143" s="688"/>
      <c r="L1143" s="70"/>
      <c r="M1143" s="686" t="s">
        <v>753</v>
      </c>
      <c r="N1143" s="687"/>
      <c r="O1143" s="687"/>
      <c r="P1143" s="687"/>
      <c r="Q1143" s="687"/>
      <c r="R1143" s="687"/>
      <c r="S1143" s="688"/>
      <c r="T1143" s="26"/>
      <c r="U1143" s="26"/>
      <c r="V1143" s="26"/>
      <c r="W1143" s="26"/>
      <c r="X1143" s="26"/>
      <c r="Y1143" s="26"/>
      <c r="Z1143" s="26"/>
      <c r="AA1143" s="26"/>
      <c r="AB1143" s="26"/>
      <c r="AC1143" s="26"/>
      <c r="AD1143" s="26"/>
      <c r="AE1143" s="26"/>
      <c r="AF1143" s="26"/>
      <c r="AG1143" s="26"/>
      <c r="AH1143" s="26"/>
      <c r="AI1143" s="26"/>
      <c r="AJ1143" s="26"/>
      <c r="AK1143" s="26"/>
      <c r="AL1143" s="26"/>
      <c r="AM1143" s="26"/>
      <c r="AN1143" s="26"/>
      <c r="AO1143" s="26"/>
      <c r="AP1143" s="26"/>
      <c r="AQ1143" s="26"/>
      <c r="AR1143" s="26"/>
      <c r="AS1143" s="26"/>
      <c r="AT1143" s="26"/>
      <c r="AU1143" s="26"/>
      <c r="AV1143" s="27"/>
      <c r="AW1143" s="65"/>
      <c r="AX1143" s="65"/>
      <c r="AY1143" s="65"/>
      <c r="AZ1143" s="65"/>
      <c r="BA1143" s="65"/>
      <c r="BB1143" s="65"/>
    </row>
    <row r="1144" spans="2:54" thickBot="1" x14ac:dyDescent="0.3">
      <c r="B1144" s="32"/>
      <c r="C1144" s="26"/>
      <c r="D1144" s="26"/>
      <c r="E1144" s="26"/>
      <c r="F1144" s="26"/>
      <c r="G1144" s="26"/>
      <c r="H1144" s="26"/>
      <c r="I1144" s="26"/>
      <c r="J1144" s="26"/>
      <c r="K1144" s="26"/>
      <c r="L1144" s="26"/>
      <c r="M1144" s="26"/>
      <c r="N1144" s="26"/>
      <c r="O1144" s="26"/>
      <c r="P1144" s="26"/>
      <c r="Q1144" s="26"/>
      <c r="R1144" s="26"/>
      <c r="S1144" s="26"/>
      <c r="T1144" s="26"/>
      <c r="U1144" s="26"/>
      <c r="V1144" s="26"/>
      <c r="W1144" s="26"/>
      <c r="X1144" s="26"/>
      <c r="Y1144" s="26"/>
      <c r="Z1144" s="26"/>
      <c r="AA1144" s="26"/>
      <c r="AB1144" s="26"/>
      <c r="AC1144" s="26"/>
      <c r="AD1144" s="26"/>
      <c r="AE1144" s="26"/>
      <c r="AF1144" s="26"/>
      <c r="AG1144" s="26"/>
      <c r="AH1144" s="26"/>
      <c r="AI1144" s="26"/>
      <c r="AJ1144" s="26"/>
      <c r="AK1144" s="26"/>
      <c r="AL1144" s="26"/>
      <c r="AM1144" s="26"/>
      <c r="AN1144" s="26"/>
      <c r="AO1144" s="26"/>
      <c r="AP1144" s="26"/>
      <c r="AQ1144" s="26"/>
      <c r="AR1144" s="26"/>
      <c r="AS1144" s="26"/>
      <c r="AT1144" s="26"/>
      <c r="AU1144" s="26"/>
      <c r="AV1144" s="27"/>
      <c r="AW1144" s="65"/>
      <c r="AX1144" s="65"/>
      <c r="AY1144" s="65"/>
      <c r="AZ1144" s="65"/>
      <c r="BA1144" s="65"/>
      <c r="BB1144" s="65"/>
    </row>
    <row r="1145" spans="2:54" ht="32.25" thickBot="1" x14ac:dyDescent="0.3">
      <c r="B1145" s="32"/>
      <c r="C1145" s="26"/>
      <c r="D1145" s="26"/>
      <c r="E1145" s="677" t="s">
        <v>763</v>
      </c>
      <c r="F1145" s="678"/>
      <c r="G1145" s="678"/>
      <c r="H1145" s="678"/>
      <c r="I1145" s="678"/>
      <c r="J1145" s="678"/>
      <c r="K1145" s="678"/>
      <c r="L1145" s="678"/>
      <c r="M1145" s="678"/>
      <c r="N1145" s="678"/>
      <c r="O1145" s="678"/>
      <c r="P1145" s="678"/>
      <c r="Q1145" s="678"/>
      <c r="R1145" s="678"/>
      <c r="S1145" s="679"/>
      <c r="T1145" s="487"/>
      <c r="U1145" s="677" t="s">
        <v>764</v>
      </c>
      <c r="V1145" s="678"/>
      <c r="W1145" s="678"/>
      <c r="X1145" s="678"/>
      <c r="Y1145" s="678"/>
      <c r="Z1145" s="679"/>
      <c r="AA1145" s="26"/>
      <c r="AB1145" s="26"/>
      <c r="AC1145" s="26"/>
      <c r="AD1145" s="26"/>
      <c r="AE1145" s="26"/>
      <c r="AF1145" s="26"/>
      <c r="AG1145" s="26"/>
      <c r="AH1145" s="26"/>
      <c r="AI1145" s="26"/>
      <c r="AJ1145" s="26"/>
      <c r="AK1145" s="26"/>
      <c r="AL1145" s="26"/>
      <c r="AM1145" s="26"/>
      <c r="AN1145" s="26"/>
      <c r="AO1145" s="26"/>
      <c r="AP1145" s="26"/>
      <c r="AQ1145" s="26"/>
      <c r="AR1145" s="26"/>
      <c r="AS1145" s="26"/>
      <c r="AT1145" s="26"/>
      <c r="AU1145" s="26"/>
      <c r="AV1145" s="27"/>
      <c r="AW1145" s="65"/>
      <c r="AX1145" s="65"/>
      <c r="AY1145" s="65"/>
      <c r="AZ1145" s="65"/>
      <c r="BA1145" s="65"/>
      <c r="BB1145" s="65"/>
    </row>
    <row r="1146" spans="2:54" thickBot="1" x14ac:dyDescent="0.3">
      <c r="B1146" s="32"/>
      <c r="C1146" s="26"/>
      <c r="D1146" s="26"/>
      <c r="E1146" s="26"/>
      <c r="F1146" s="26"/>
      <c r="G1146" s="26"/>
      <c r="H1146" s="26"/>
      <c r="I1146" s="26"/>
      <c r="J1146" s="26"/>
      <c r="K1146" s="26"/>
      <c r="L1146" s="26"/>
      <c r="M1146" s="26"/>
      <c r="N1146" s="26"/>
      <c r="O1146" s="26"/>
      <c r="P1146" s="26"/>
      <c r="Q1146" s="26"/>
      <c r="R1146" s="26"/>
      <c r="S1146" s="26"/>
      <c r="T1146" s="26"/>
      <c r="U1146" s="26"/>
      <c r="V1146" s="26"/>
      <c r="W1146" s="26"/>
      <c r="X1146" s="26"/>
      <c r="Y1146" s="26"/>
      <c r="Z1146" s="26"/>
      <c r="AA1146" s="26"/>
      <c r="AB1146" s="26"/>
      <c r="AC1146" s="26"/>
      <c r="AD1146" s="26"/>
      <c r="AE1146" s="26"/>
      <c r="AF1146" s="26"/>
      <c r="AG1146" s="26"/>
      <c r="AH1146" s="26"/>
      <c r="AI1146" s="26"/>
      <c r="AJ1146" s="26"/>
      <c r="AK1146" s="26"/>
      <c r="AL1146" s="26"/>
      <c r="AM1146" s="26"/>
      <c r="AN1146" s="26"/>
      <c r="AO1146" s="26"/>
      <c r="AP1146" s="26"/>
      <c r="AQ1146" s="26"/>
      <c r="AR1146" s="26"/>
      <c r="AS1146" s="26"/>
      <c r="AT1146" s="26"/>
      <c r="AU1146" s="26"/>
      <c r="AV1146" s="27"/>
      <c r="AW1146" s="65"/>
      <c r="AX1146" s="65"/>
      <c r="AY1146" s="65"/>
      <c r="AZ1146" s="65"/>
      <c r="BA1146" s="65"/>
      <c r="BB1146" s="65"/>
    </row>
    <row r="1147" spans="2:54" ht="15" customHeight="1" x14ac:dyDescent="0.3">
      <c r="B1147" s="32"/>
      <c r="C1147" s="655" t="s">
        <v>757</v>
      </c>
      <c r="D1147" s="26"/>
      <c r="E1147" s="704" t="str">
        <f>E1135&amp;" y "&amp;E1141</f>
        <v>Alta calidad de la materia prima y Ayudas del programa de Gestores de Exportación de las Cámaras de Comercio</v>
      </c>
      <c r="F1147" s="705"/>
      <c r="G1147" s="705"/>
      <c r="H1147" s="705"/>
      <c r="I1147" s="705"/>
      <c r="J1147" s="705"/>
      <c r="K1147" s="705"/>
      <c r="L1147" s="705"/>
      <c r="M1147" s="705"/>
      <c r="N1147" s="705"/>
      <c r="O1147" s="705"/>
      <c r="P1147" s="705"/>
      <c r="Q1147" s="705"/>
      <c r="R1147" s="705"/>
      <c r="S1147" s="706"/>
      <c r="T1147" s="487" t="s">
        <v>776</v>
      </c>
      <c r="U1147" s="661"/>
      <c r="V1147" s="662"/>
      <c r="W1147" s="662"/>
      <c r="X1147" s="662"/>
      <c r="Y1147" s="662"/>
      <c r="Z1147" s="662"/>
      <c r="AA1147" s="662"/>
      <c r="AB1147" s="662"/>
      <c r="AC1147" s="662"/>
      <c r="AD1147" s="662"/>
      <c r="AE1147" s="662"/>
      <c r="AF1147" s="662"/>
      <c r="AG1147" s="662"/>
      <c r="AH1147" s="662"/>
      <c r="AI1147" s="662"/>
      <c r="AJ1147" s="662"/>
      <c r="AK1147" s="662"/>
      <c r="AL1147" s="662"/>
      <c r="AM1147" s="663"/>
      <c r="AN1147" s="26"/>
      <c r="AO1147" s="26"/>
      <c r="AP1147" s="26"/>
      <c r="AQ1147" s="26"/>
      <c r="AR1147" s="26"/>
      <c r="AS1147" s="26"/>
      <c r="AT1147" s="26"/>
      <c r="AU1147" s="26"/>
      <c r="AV1147" s="27"/>
      <c r="AW1147" s="65"/>
      <c r="AX1147" s="65"/>
      <c r="AY1147" s="65"/>
      <c r="AZ1147" s="65"/>
      <c r="BA1147" s="65"/>
      <c r="BB1147" s="65"/>
    </row>
    <row r="1148" spans="2:54" ht="15" customHeight="1" x14ac:dyDescent="0.3">
      <c r="B1148" s="32"/>
      <c r="C1148" s="656"/>
      <c r="D1148" s="26"/>
      <c r="E1148" s="707" t="str">
        <f>E1135&amp;" y "&amp;E1142</f>
        <v>Alta calidad de la materia prima y Gusto por el buen jamón de los extranjeros</v>
      </c>
      <c r="F1148" s="708"/>
      <c r="G1148" s="708"/>
      <c r="H1148" s="708"/>
      <c r="I1148" s="708"/>
      <c r="J1148" s="708"/>
      <c r="K1148" s="708"/>
      <c r="L1148" s="708"/>
      <c r="M1148" s="708"/>
      <c r="N1148" s="708"/>
      <c r="O1148" s="708"/>
      <c r="P1148" s="708"/>
      <c r="Q1148" s="708"/>
      <c r="R1148" s="708"/>
      <c r="S1148" s="709"/>
      <c r="T1148" s="487" t="s">
        <v>776</v>
      </c>
      <c r="U1148" s="664" t="s">
        <v>773</v>
      </c>
      <c r="V1148" s="665"/>
      <c r="W1148" s="665"/>
      <c r="X1148" s="665"/>
      <c r="Y1148" s="665"/>
      <c r="Z1148" s="665"/>
      <c r="AA1148" s="665"/>
      <c r="AB1148" s="665"/>
      <c r="AC1148" s="665"/>
      <c r="AD1148" s="665"/>
      <c r="AE1148" s="665"/>
      <c r="AF1148" s="665"/>
      <c r="AG1148" s="665"/>
      <c r="AH1148" s="665"/>
      <c r="AI1148" s="665"/>
      <c r="AJ1148" s="665"/>
      <c r="AK1148" s="665"/>
      <c r="AL1148" s="665"/>
      <c r="AM1148" s="666"/>
      <c r="AN1148" s="26"/>
      <c r="AO1148" s="26"/>
      <c r="AP1148" s="26"/>
      <c r="AQ1148" s="26"/>
      <c r="AR1148" s="26"/>
      <c r="AS1148" s="26"/>
      <c r="AT1148" s="26"/>
      <c r="AU1148" s="26"/>
      <c r="AV1148" s="27"/>
      <c r="AW1148" s="65"/>
      <c r="AX1148" s="65"/>
      <c r="AY1148" s="65"/>
      <c r="AZ1148" s="65"/>
      <c r="BA1148" s="65"/>
      <c r="BB1148" s="65"/>
    </row>
    <row r="1149" spans="2:54" ht="15.75" customHeight="1" x14ac:dyDescent="0.3">
      <c r="B1149" s="32"/>
      <c r="C1149" s="656"/>
      <c r="D1149" s="26"/>
      <c r="E1149" s="707" t="str">
        <f>E1135&amp;" y "&amp;E1143</f>
        <v>Alta calidad de la materia prima y ..........</v>
      </c>
      <c r="F1149" s="708"/>
      <c r="G1149" s="708"/>
      <c r="H1149" s="708"/>
      <c r="I1149" s="708"/>
      <c r="J1149" s="708"/>
      <c r="K1149" s="708"/>
      <c r="L1149" s="708"/>
      <c r="M1149" s="708"/>
      <c r="N1149" s="708"/>
      <c r="O1149" s="708"/>
      <c r="P1149" s="708"/>
      <c r="Q1149" s="708"/>
      <c r="R1149" s="708"/>
      <c r="S1149" s="709"/>
      <c r="T1149" s="487" t="s">
        <v>776</v>
      </c>
      <c r="U1149" s="664"/>
      <c r="V1149" s="665"/>
      <c r="W1149" s="665"/>
      <c r="X1149" s="665"/>
      <c r="Y1149" s="665"/>
      <c r="Z1149" s="665"/>
      <c r="AA1149" s="665"/>
      <c r="AB1149" s="665"/>
      <c r="AC1149" s="665"/>
      <c r="AD1149" s="665"/>
      <c r="AE1149" s="665"/>
      <c r="AF1149" s="665"/>
      <c r="AG1149" s="665"/>
      <c r="AH1149" s="665"/>
      <c r="AI1149" s="665"/>
      <c r="AJ1149" s="665"/>
      <c r="AK1149" s="665"/>
      <c r="AL1149" s="665"/>
      <c r="AM1149" s="666"/>
      <c r="AN1149" s="26"/>
      <c r="AO1149" s="26"/>
      <c r="AP1149" s="26"/>
      <c r="AQ1149" s="26"/>
      <c r="AR1149" s="26"/>
      <c r="AS1149" s="26"/>
      <c r="AT1149" s="26"/>
      <c r="AU1149" s="26"/>
      <c r="AV1149" s="27"/>
      <c r="AW1149" s="65"/>
      <c r="AX1149" s="65"/>
      <c r="AY1149" s="65"/>
      <c r="AZ1149" s="65"/>
      <c r="BA1149" s="65"/>
      <c r="BB1149" s="65"/>
    </row>
    <row r="1150" spans="2:54" ht="15" customHeight="1" x14ac:dyDescent="0.3">
      <c r="B1150" s="32"/>
      <c r="C1150" s="656"/>
      <c r="D1150" s="26"/>
      <c r="E1150" s="707" t="str">
        <f>E1136&amp;" y "&amp;E1141</f>
        <v>Mucha capacidad productiva, con secaderos de última generación y Ayudas del programa de Gestores de Exportación de las Cámaras de Comercio</v>
      </c>
      <c r="F1150" s="708"/>
      <c r="G1150" s="708"/>
      <c r="H1150" s="708"/>
      <c r="I1150" s="708"/>
      <c r="J1150" s="708"/>
      <c r="K1150" s="708"/>
      <c r="L1150" s="708"/>
      <c r="M1150" s="708"/>
      <c r="N1150" s="708"/>
      <c r="O1150" s="708"/>
      <c r="P1150" s="708"/>
      <c r="Q1150" s="708"/>
      <c r="R1150" s="708"/>
      <c r="S1150" s="709"/>
      <c r="T1150" s="487" t="s">
        <v>776</v>
      </c>
      <c r="U1150" s="664"/>
      <c r="V1150" s="665"/>
      <c r="W1150" s="665"/>
      <c r="X1150" s="665"/>
      <c r="Y1150" s="665"/>
      <c r="Z1150" s="665"/>
      <c r="AA1150" s="665"/>
      <c r="AB1150" s="665"/>
      <c r="AC1150" s="665"/>
      <c r="AD1150" s="665"/>
      <c r="AE1150" s="665"/>
      <c r="AF1150" s="665"/>
      <c r="AG1150" s="665"/>
      <c r="AH1150" s="665"/>
      <c r="AI1150" s="665"/>
      <c r="AJ1150" s="665"/>
      <c r="AK1150" s="665"/>
      <c r="AL1150" s="665"/>
      <c r="AM1150" s="666"/>
      <c r="AN1150" s="26"/>
      <c r="AO1150" s="26"/>
      <c r="AP1150" s="26"/>
      <c r="AQ1150" s="26"/>
      <c r="AR1150" s="26"/>
      <c r="AS1150" s="26"/>
      <c r="AT1150" s="26"/>
      <c r="AU1150" s="26"/>
      <c r="AV1150" s="27"/>
      <c r="AW1150" s="65"/>
      <c r="AX1150" s="65"/>
      <c r="AY1150" s="65"/>
      <c r="AZ1150" s="65"/>
      <c r="BA1150" s="65"/>
      <c r="BB1150" s="65"/>
    </row>
    <row r="1151" spans="2:54" ht="15" customHeight="1" x14ac:dyDescent="0.3">
      <c r="B1151" s="32"/>
      <c r="C1151" s="656"/>
      <c r="D1151" s="26"/>
      <c r="E1151" s="707" t="str">
        <f>E1136&amp;" y "&amp;E1142</f>
        <v>Mucha capacidad productiva, con secaderos de última generación y Gusto por el buen jamón de los extranjeros</v>
      </c>
      <c r="F1151" s="708"/>
      <c r="G1151" s="708"/>
      <c r="H1151" s="708"/>
      <c r="I1151" s="708"/>
      <c r="J1151" s="708"/>
      <c r="K1151" s="708"/>
      <c r="L1151" s="708"/>
      <c r="M1151" s="708"/>
      <c r="N1151" s="708"/>
      <c r="O1151" s="708"/>
      <c r="P1151" s="708"/>
      <c r="Q1151" s="708"/>
      <c r="R1151" s="708"/>
      <c r="S1151" s="709"/>
      <c r="T1151" s="487" t="s">
        <v>776</v>
      </c>
      <c r="U1151" s="664"/>
      <c r="V1151" s="665"/>
      <c r="W1151" s="665"/>
      <c r="X1151" s="665"/>
      <c r="Y1151" s="665"/>
      <c r="Z1151" s="665"/>
      <c r="AA1151" s="665"/>
      <c r="AB1151" s="665"/>
      <c r="AC1151" s="665"/>
      <c r="AD1151" s="665"/>
      <c r="AE1151" s="665"/>
      <c r="AF1151" s="665"/>
      <c r="AG1151" s="665"/>
      <c r="AH1151" s="665"/>
      <c r="AI1151" s="665"/>
      <c r="AJ1151" s="665"/>
      <c r="AK1151" s="665"/>
      <c r="AL1151" s="665"/>
      <c r="AM1151" s="666"/>
      <c r="AN1151" s="26"/>
      <c r="AO1151" s="26"/>
      <c r="AP1151" s="26"/>
      <c r="AQ1151" s="26"/>
      <c r="AR1151" s="26"/>
      <c r="AS1151" s="26"/>
      <c r="AT1151" s="26"/>
      <c r="AU1151" s="26"/>
      <c r="AV1151" s="27"/>
      <c r="AW1151" s="65"/>
      <c r="AX1151" s="65"/>
      <c r="AY1151" s="65"/>
      <c r="AZ1151" s="65"/>
      <c r="BA1151" s="65"/>
      <c r="BB1151" s="65"/>
    </row>
    <row r="1152" spans="2:54" ht="15.75" customHeight="1" x14ac:dyDescent="0.3">
      <c r="B1152" s="32"/>
      <c r="C1152" s="656"/>
      <c r="D1152" s="26"/>
      <c r="E1152" s="707" t="str">
        <f>E1136&amp;" y "&amp;E1143</f>
        <v>Mucha capacidad productiva, con secaderos de última generación y ..........</v>
      </c>
      <c r="F1152" s="708"/>
      <c r="G1152" s="708"/>
      <c r="H1152" s="708"/>
      <c r="I1152" s="708"/>
      <c r="J1152" s="708"/>
      <c r="K1152" s="708"/>
      <c r="L1152" s="708"/>
      <c r="M1152" s="708"/>
      <c r="N1152" s="708"/>
      <c r="O1152" s="708"/>
      <c r="P1152" s="708"/>
      <c r="Q1152" s="708"/>
      <c r="R1152" s="708"/>
      <c r="S1152" s="709"/>
      <c r="T1152" s="487" t="s">
        <v>776</v>
      </c>
      <c r="U1152" s="664"/>
      <c r="V1152" s="665"/>
      <c r="W1152" s="665"/>
      <c r="X1152" s="665"/>
      <c r="Y1152" s="665"/>
      <c r="Z1152" s="665"/>
      <c r="AA1152" s="665"/>
      <c r="AB1152" s="665"/>
      <c r="AC1152" s="665"/>
      <c r="AD1152" s="665"/>
      <c r="AE1152" s="665"/>
      <c r="AF1152" s="665"/>
      <c r="AG1152" s="665"/>
      <c r="AH1152" s="665"/>
      <c r="AI1152" s="665"/>
      <c r="AJ1152" s="665"/>
      <c r="AK1152" s="665"/>
      <c r="AL1152" s="665"/>
      <c r="AM1152" s="666"/>
      <c r="AN1152" s="26"/>
      <c r="AO1152" s="26"/>
      <c r="AP1152" s="26"/>
      <c r="AQ1152" s="26"/>
      <c r="AR1152" s="26"/>
      <c r="AS1152" s="26"/>
      <c r="AT1152" s="26"/>
      <c r="AU1152" s="26"/>
      <c r="AV1152" s="27"/>
      <c r="AW1152" s="65"/>
      <c r="AX1152" s="65"/>
      <c r="AY1152" s="65"/>
      <c r="AZ1152" s="65"/>
      <c r="BA1152" s="65"/>
      <c r="BB1152" s="65"/>
    </row>
    <row r="1153" spans="2:54" ht="15" customHeight="1" x14ac:dyDescent="0.3">
      <c r="B1153" s="32"/>
      <c r="C1153" s="656"/>
      <c r="D1153" s="26"/>
      <c r="E1153" s="707" t="str">
        <f>E1137&amp;" y "&amp;E1141</f>
        <v>...... y Ayudas del programa de Gestores de Exportación de las Cámaras de Comercio</v>
      </c>
      <c r="F1153" s="708"/>
      <c r="G1153" s="708"/>
      <c r="H1153" s="708"/>
      <c r="I1153" s="708"/>
      <c r="J1153" s="708"/>
      <c r="K1153" s="708"/>
      <c r="L1153" s="708"/>
      <c r="M1153" s="708"/>
      <c r="N1153" s="708"/>
      <c r="O1153" s="708"/>
      <c r="P1153" s="708"/>
      <c r="Q1153" s="708"/>
      <c r="R1153" s="708"/>
      <c r="S1153" s="709"/>
      <c r="T1153" s="487" t="s">
        <v>776</v>
      </c>
      <c r="U1153" s="664"/>
      <c r="V1153" s="665"/>
      <c r="W1153" s="665"/>
      <c r="X1153" s="665"/>
      <c r="Y1153" s="665"/>
      <c r="Z1153" s="665"/>
      <c r="AA1153" s="665"/>
      <c r="AB1153" s="665"/>
      <c r="AC1153" s="665"/>
      <c r="AD1153" s="665"/>
      <c r="AE1153" s="665"/>
      <c r="AF1153" s="665"/>
      <c r="AG1153" s="665"/>
      <c r="AH1153" s="665"/>
      <c r="AI1153" s="665"/>
      <c r="AJ1153" s="665"/>
      <c r="AK1153" s="665"/>
      <c r="AL1153" s="665"/>
      <c r="AM1153" s="666"/>
      <c r="AN1153" s="26"/>
      <c r="AO1153" s="26"/>
      <c r="AP1153" s="26"/>
      <c r="AQ1153" s="26"/>
      <c r="AR1153" s="26"/>
      <c r="AS1153" s="26"/>
      <c r="AT1153" s="26"/>
      <c r="AU1153" s="26"/>
      <c r="AV1153" s="27"/>
      <c r="AW1153" s="65"/>
      <c r="AX1153" s="65"/>
      <c r="AY1153" s="65"/>
      <c r="AZ1153" s="65"/>
      <c r="BA1153" s="65"/>
      <c r="BB1153" s="65"/>
    </row>
    <row r="1154" spans="2:54" ht="15" customHeight="1" x14ac:dyDescent="0.3">
      <c r="B1154" s="32"/>
      <c r="C1154" s="656"/>
      <c r="D1154" s="26"/>
      <c r="E1154" s="707" t="str">
        <f>E1137&amp;" y "&amp;E1142</f>
        <v>...... y Gusto por el buen jamón de los extranjeros</v>
      </c>
      <c r="F1154" s="708"/>
      <c r="G1154" s="708"/>
      <c r="H1154" s="708"/>
      <c r="I1154" s="708"/>
      <c r="J1154" s="708"/>
      <c r="K1154" s="708"/>
      <c r="L1154" s="708"/>
      <c r="M1154" s="708"/>
      <c r="N1154" s="708"/>
      <c r="O1154" s="708"/>
      <c r="P1154" s="708"/>
      <c r="Q1154" s="708"/>
      <c r="R1154" s="708"/>
      <c r="S1154" s="709"/>
      <c r="T1154" s="487" t="s">
        <v>776</v>
      </c>
      <c r="U1154" s="664"/>
      <c r="V1154" s="665"/>
      <c r="W1154" s="665"/>
      <c r="X1154" s="665"/>
      <c r="Y1154" s="665"/>
      <c r="Z1154" s="665"/>
      <c r="AA1154" s="665"/>
      <c r="AB1154" s="665"/>
      <c r="AC1154" s="665"/>
      <c r="AD1154" s="665"/>
      <c r="AE1154" s="665"/>
      <c r="AF1154" s="665"/>
      <c r="AG1154" s="665"/>
      <c r="AH1154" s="665"/>
      <c r="AI1154" s="665"/>
      <c r="AJ1154" s="665"/>
      <c r="AK1154" s="665"/>
      <c r="AL1154" s="665"/>
      <c r="AM1154" s="666"/>
      <c r="AN1154" s="26"/>
      <c r="AO1154" s="26"/>
      <c r="AP1154" s="26"/>
      <c r="AQ1154" s="26"/>
      <c r="AR1154" s="26"/>
      <c r="AS1154" s="26"/>
      <c r="AT1154" s="26"/>
      <c r="AU1154" s="26"/>
      <c r="AV1154" s="27"/>
      <c r="AW1154" s="65"/>
      <c r="AX1154" s="65"/>
      <c r="AY1154" s="65"/>
      <c r="AZ1154" s="65"/>
      <c r="BA1154" s="65"/>
      <c r="BB1154" s="65"/>
    </row>
    <row r="1155" spans="2:54" ht="15.75" customHeight="1" thickBot="1" x14ac:dyDescent="0.35">
      <c r="B1155" s="32"/>
      <c r="C1155" s="657"/>
      <c r="D1155" s="26"/>
      <c r="E1155" s="710" t="str">
        <f>E1137&amp;" y "&amp;E1143</f>
        <v>...... y ..........</v>
      </c>
      <c r="F1155" s="711"/>
      <c r="G1155" s="711"/>
      <c r="H1155" s="711"/>
      <c r="I1155" s="711"/>
      <c r="J1155" s="711"/>
      <c r="K1155" s="711"/>
      <c r="L1155" s="711"/>
      <c r="M1155" s="711"/>
      <c r="N1155" s="711"/>
      <c r="O1155" s="711"/>
      <c r="P1155" s="711"/>
      <c r="Q1155" s="711"/>
      <c r="R1155" s="711"/>
      <c r="S1155" s="712"/>
      <c r="T1155" s="487" t="s">
        <v>776</v>
      </c>
      <c r="U1155" s="667"/>
      <c r="V1155" s="668"/>
      <c r="W1155" s="668"/>
      <c r="X1155" s="668"/>
      <c r="Y1155" s="668"/>
      <c r="Z1155" s="668"/>
      <c r="AA1155" s="668"/>
      <c r="AB1155" s="668"/>
      <c r="AC1155" s="668"/>
      <c r="AD1155" s="668"/>
      <c r="AE1155" s="668"/>
      <c r="AF1155" s="668"/>
      <c r="AG1155" s="668"/>
      <c r="AH1155" s="668"/>
      <c r="AI1155" s="668"/>
      <c r="AJ1155" s="668"/>
      <c r="AK1155" s="668"/>
      <c r="AL1155" s="668"/>
      <c r="AM1155" s="669"/>
      <c r="AN1155" s="26"/>
      <c r="AO1155" s="26"/>
      <c r="AP1155" s="26"/>
      <c r="AQ1155" s="26"/>
      <c r="AR1155" s="26"/>
      <c r="AS1155" s="26"/>
      <c r="AT1155" s="26"/>
      <c r="AU1155" s="26"/>
      <c r="AV1155" s="27"/>
      <c r="AW1155" s="65"/>
      <c r="AX1155" s="65"/>
      <c r="AY1155" s="65"/>
      <c r="AZ1155" s="65"/>
      <c r="BA1155" s="65"/>
      <c r="BB1155" s="65"/>
    </row>
    <row r="1156" spans="2:54" ht="19.5" thickBot="1" x14ac:dyDescent="0.35">
      <c r="B1156" s="32"/>
      <c r="C1156" s="26"/>
      <c r="D1156" s="26"/>
      <c r="E1156" s="460"/>
      <c r="F1156" s="460"/>
      <c r="G1156" s="460"/>
      <c r="H1156" s="460"/>
      <c r="I1156" s="460"/>
      <c r="J1156" s="460"/>
      <c r="K1156" s="460"/>
      <c r="L1156" s="460"/>
      <c r="M1156" s="460"/>
      <c r="N1156" s="460"/>
      <c r="O1156" s="460"/>
      <c r="P1156" s="460"/>
      <c r="Q1156" s="460"/>
      <c r="R1156" s="460"/>
      <c r="S1156" s="460"/>
      <c r="T1156" s="26"/>
      <c r="U1156" s="26"/>
      <c r="V1156" s="26"/>
      <c r="W1156" s="26"/>
      <c r="X1156" s="26"/>
      <c r="Y1156" s="26"/>
      <c r="Z1156" s="26"/>
      <c r="AA1156" s="26"/>
      <c r="AB1156" s="26"/>
      <c r="AC1156" s="26"/>
      <c r="AD1156" s="26"/>
      <c r="AE1156" s="26"/>
      <c r="AF1156" s="26"/>
      <c r="AG1156" s="26"/>
      <c r="AH1156" s="26"/>
      <c r="AI1156" s="26"/>
      <c r="AJ1156" s="26"/>
      <c r="AK1156" s="26"/>
      <c r="AL1156" s="26"/>
      <c r="AM1156" s="26"/>
      <c r="AN1156" s="26"/>
      <c r="AO1156" s="26"/>
      <c r="AP1156" s="26"/>
      <c r="AQ1156" s="26"/>
      <c r="AR1156" s="26"/>
      <c r="AS1156" s="26"/>
      <c r="AT1156" s="26"/>
      <c r="AU1156" s="26"/>
      <c r="AV1156" s="27"/>
      <c r="AW1156" s="65"/>
      <c r="AX1156" s="65"/>
      <c r="AY1156" s="65"/>
      <c r="AZ1156" s="65"/>
      <c r="BA1156" s="65"/>
      <c r="BB1156" s="65"/>
    </row>
    <row r="1157" spans="2:54" ht="15" customHeight="1" x14ac:dyDescent="0.3">
      <c r="B1157" s="32"/>
      <c r="C1157" s="658" t="s">
        <v>758</v>
      </c>
      <c r="D1157" s="26"/>
      <c r="E1157" s="713" t="str">
        <f>E1135&amp;" y "&amp;M1141</f>
        <v xml:space="preserve">Alta calidad de la materia prima y El jamón italiano de Parma </v>
      </c>
      <c r="F1157" s="714"/>
      <c r="G1157" s="714"/>
      <c r="H1157" s="714"/>
      <c r="I1157" s="714"/>
      <c r="J1157" s="714"/>
      <c r="K1157" s="714"/>
      <c r="L1157" s="714"/>
      <c r="M1157" s="714"/>
      <c r="N1157" s="714"/>
      <c r="O1157" s="714"/>
      <c r="P1157" s="714"/>
      <c r="Q1157" s="714"/>
      <c r="R1157" s="714"/>
      <c r="S1157" s="715"/>
      <c r="T1157" s="487" t="s">
        <v>776</v>
      </c>
      <c r="U1157" s="661"/>
      <c r="V1157" s="662"/>
      <c r="W1157" s="662"/>
      <c r="X1157" s="662"/>
      <c r="Y1157" s="662"/>
      <c r="Z1157" s="662"/>
      <c r="AA1157" s="662"/>
      <c r="AB1157" s="662"/>
      <c r="AC1157" s="662"/>
      <c r="AD1157" s="662"/>
      <c r="AE1157" s="662"/>
      <c r="AF1157" s="662"/>
      <c r="AG1157" s="662"/>
      <c r="AH1157" s="662"/>
      <c r="AI1157" s="662"/>
      <c r="AJ1157" s="662"/>
      <c r="AK1157" s="662"/>
      <c r="AL1157" s="662"/>
      <c r="AM1157" s="663"/>
      <c r="AN1157" s="26"/>
      <c r="AO1157" s="26"/>
      <c r="AP1157" s="26"/>
      <c r="AQ1157" s="26"/>
      <c r="AR1157" s="26"/>
      <c r="AS1157" s="26"/>
      <c r="AT1157" s="26"/>
      <c r="AU1157" s="26"/>
      <c r="AV1157" s="27"/>
      <c r="AW1157" s="65"/>
      <c r="AX1157" s="65"/>
      <c r="AY1157" s="65"/>
      <c r="AZ1157" s="65"/>
      <c r="BA1157" s="65"/>
      <c r="BB1157" s="65"/>
    </row>
    <row r="1158" spans="2:54" ht="18.75" x14ac:dyDescent="0.3">
      <c r="B1158" s="32"/>
      <c r="C1158" s="659"/>
      <c r="D1158" s="26"/>
      <c r="E1158" s="695" t="str">
        <f>E1135&amp;" y "&amp;M1142</f>
        <v>Alta calidad de la materia prima y Crisis alimentarias (vacas locas, pepino...)</v>
      </c>
      <c r="F1158" s="696"/>
      <c r="G1158" s="696"/>
      <c r="H1158" s="696"/>
      <c r="I1158" s="696"/>
      <c r="J1158" s="696"/>
      <c r="K1158" s="696"/>
      <c r="L1158" s="696"/>
      <c r="M1158" s="696"/>
      <c r="N1158" s="696"/>
      <c r="O1158" s="696"/>
      <c r="P1158" s="696"/>
      <c r="Q1158" s="696"/>
      <c r="R1158" s="696"/>
      <c r="S1158" s="697"/>
      <c r="T1158" s="487" t="s">
        <v>776</v>
      </c>
      <c r="U1158" s="664"/>
      <c r="V1158" s="665"/>
      <c r="W1158" s="665"/>
      <c r="X1158" s="665"/>
      <c r="Y1158" s="665"/>
      <c r="Z1158" s="665"/>
      <c r="AA1158" s="665"/>
      <c r="AB1158" s="665"/>
      <c r="AC1158" s="665"/>
      <c r="AD1158" s="665"/>
      <c r="AE1158" s="665"/>
      <c r="AF1158" s="665"/>
      <c r="AG1158" s="665"/>
      <c r="AH1158" s="665"/>
      <c r="AI1158" s="665"/>
      <c r="AJ1158" s="665"/>
      <c r="AK1158" s="665"/>
      <c r="AL1158" s="665"/>
      <c r="AM1158" s="666"/>
      <c r="AN1158" s="26"/>
      <c r="AO1158" s="26"/>
      <c r="AP1158" s="26"/>
      <c r="AQ1158" s="26"/>
      <c r="AR1158" s="26"/>
      <c r="AS1158" s="26"/>
      <c r="AT1158" s="26"/>
      <c r="AU1158" s="26"/>
      <c r="AV1158" s="27"/>
      <c r="AW1158" s="65"/>
      <c r="AX1158" s="65"/>
      <c r="AY1158" s="65"/>
      <c r="AZ1158" s="65"/>
      <c r="BA1158" s="65"/>
      <c r="BB1158" s="65"/>
    </row>
    <row r="1159" spans="2:54" ht="18.75" x14ac:dyDescent="0.3">
      <c r="B1159" s="32"/>
      <c r="C1159" s="659"/>
      <c r="D1159" s="26"/>
      <c r="E1159" s="695" t="str">
        <f>E1135&amp;" y "&amp;M1143</f>
        <v>Alta calidad de la materia prima y ..........</v>
      </c>
      <c r="F1159" s="696"/>
      <c r="G1159" s="696"/>
      <c r="H1159" s="696"/>
      <c r="I1159" s="696"/>
      <c r="J1159" s="696"/>
      <c r="K1159" s="696"/>
      <c r="L1159" s="696"/>
      <c r="M1159" s="696"/>
      <c r="N1159" s="696"/>
      <c r="O1159" s="696"/>
      <c r="P1159" s="696"/>
      <c r="Q1159" s="696"/>
      <c r="R1159" s="696"/>
      <c r="S1159" s="697"/>
      <c r="T1159" s="487" t="s">
        <v>776</v>
      </c>
      <c r="U1159" s="664"/>
      <c r="V1159" s="665"/>
      <c r="W1159" s="665"/>
      <c r="X1159" s="665"/>
      <c r="Y1159" s="665"/>
      <c r="Z1159" s="665"/>
      <c r="AA1159" s="665"/>
      <c r="AB1159" s="665"/>
      <c r="AC1159" s="665"/>
      <c r="AD1159" s="665"/>
      <c r="AE1159" s="665"/>
      <c r="AF1159" s="665"/>
      <c r="AG1159" s="665"/>
      <c r="AH1159" s="665"/>
      <c r="AI1159" s="665"/>
      <c r="AJ1159" s="665"/>
      <c r="AK1159" s="665"/>
      <c r="AL1159" s="665"/>
      <c r="AM1159" s="666"/>
      <c r="AN1159" s="26"/>
      <c r="AO1159" s="26"/>
      <c r="AP1159" s="26"/>
      <c r="AQ1159" s="26"/>
      <c r="AR1159" s="26"/>
      <c r="AS1159" s="26"/>
      <c r="AT1159" s="26"/>
      <c r="AU1159" s="26"/>
      <c r="AV1159" s="27"/>
      <c r="AW1159" s="65"/>
      <c r="AX1159" s="65"/>
      <c r="AY1159" s="65"/>
      <c r="AZ1159" s="65"/>
      <c r="BA1159" s="65"/>
      <c r="BB1159" s="65"/>
    </row>
    <row r="1160" spans="2:54" ht="18.75" x14ac:dyDescent="0.3">
      <c r="B1160" s="32"/>
      <c r="C1160" s="659"/>
      <c r="D1160" s="26"/>
      <c r="E1160" s="695" t="str">
        <f>E1136&amp;" y "&amp;M1141</f>
        <v xml:space="preserve">Mucha capacidad productiva, con secaderos de última generación y El jamón italiano de Parma </v>
      </c>
      <c r="F1160" s="696"/>
      <c r="G1160" s="696"/>
      <c r="H1160" s="696"/>
      <c r="I1160" s="696"/>
      <c r="J1160" s="696"/>
      <c r="K1160" s="696"/>
      <c r="L1160" s="696"/>
      <c r="M1160" s="696"/>
      <c r="N1160" s="696"/>
      <c r="O1160" s="696"/>
      <c r="P1160" s="696"/>
      <c r="Q1160" s="696"/>
      <c r="R1160" s="696"/>
      <c r="S1160" s="697"/>
      <c r="T1160" s="487" t="s">
        <v>776</v>
      </c>
      <c r="U1160" s="664"/>
      <c r="V1160" s="665"/>
      <c r="W1160" s="665"/>
      <c r="X1160" s="665"/>
      <c r="Y1160" s="665"/>
      <c r="Z1160" s="665"/>
      <c r="AA1160" s="665"/>
      <c r="AB1160" s="665"/>
      <c r="AC1160" s="665"/>
      <c r="AD1160" s="665"/>
      <c r="AE1160" s="665"/>
      <c r="AF1160" s="665"/>
      <c r="AG1160" s="665"/>
      <c r="AH1160" s="665"/>
      <c r="AI1160" s="665"/>
      <c r="AJ1160" s="665"/>
      <c r="AK1160" s="665"/>
      <c r="AL1160" s="665"/>
      <c r="AM1160" s="666"/>
      <c r="AN1160" s="26"/>
      <c r="AO1160" s="26"/>
      <c r="AP1160" s="26"/>
      <c r="AQ1160" s="26"/>
      <c r="AR1160" s="26"/>
      <c r="AS1160" s="26"/>
      <c r="AT1160" s="26"/>
      <c r="AU1160" s="26"/>
      <c r="AV1160" s="27"/>
      <c r="AW1160" s="65"/>
      <c r="AX1160" s="65"/>
      <c r="AY1160" s="65"/>
      <c r="AZ1160" s="65"/>
      <c r="BA1160" s="65"/>
      <c r="BB1160" s="65"/>
    </row>
    <row r="1161" spans="2:54" ht="18.75" x14ac:dyDescent="0.3">
      <c r="B1161" s="32"/>
      <c r="C1161" s="659"/>
      <c r="D1161" s="26"/>
      <c r="E1161" s="695" t="str">
        <f>E1136&amp;" y "&amp;M1142</f>
        <v>Mucha capacidad productiva, con secaderos de última generación y Crisis alimentarias (vacas locas, pepino...)</v>
      </c>
      <c r="F1161" s="696"/>
      <c r="G1161" s="696"/>
      <c r="H1161" s="696"/>
      <c r="I1161" s="696"/>
      <c r="J1161" s="696"/>
      <c r="K1161" s="696"/>
      <c r="L1161" s="696"/>
      <c r="M1161" s="696"/>
      <c r="N1161" s="696"/>
      <c r="O1161" s="696"/>
      <c r="P1161" s="696"/>
      <c r="Q1161" s="696"/>
      <c r="R1161" s="696"/>
      <c r="S1161" s="697"/>
      <c r="T1161" s="487" t="s">
        <v>776</v>
      </c>
      <c r="U1161" s="664" t="s">
        <v>772</v>
      </c>
      <c r="V1161" s="665"/>
      <c r="W1161" s="665"/>
      <c r="X1161" s="665"/>
      <c r="Y1161" s="665"/>
      <c r="Z1161" s="665"/>
      <c r="AA1161" s="665"/>
      <c r="AB1161" s="665"/>
      <c r="AC1161" s="665"/>
      <c r="AD1161" s="665"/>
      <c r="AE1161" s="665"/>
      <c r="AF1161" s="665"/>
      <c r="AG1161" s="665"/>
      <c r="AH1161" s="665"/>
      <c r="AI1161" s="665"/>
      <c r="AJ1161" s="665"/>
      <c r="AK1161" s="665"/>
      <c r="AL1161" s="665"/>
      <c r="AM1161" s="666"/>
      <c r="AN1161" s="26"/>
      <c r="AO1161" s="26"/>
      <c r="AP1161" s="26"/>
      <c r="AQ1161" s="26"/>
      <c r="AR1161" s="26"/>
      <c r="AS1161" s="26"/>
      <c r="AT1161" s="26"/>
      <c r="AU1161" s="26"/>
      <c r="AV1161" s="27"/>
      <c r="AW1161" s="65"/>
      <c r="AX1161" s="65"/>
      <c r="AY1161" s="65"/>
      <c r="AZ1161" s="65"/>
      <c r="BA1161" s="65"/>
      <c r="BB1161" s="65"/>
    </row>
    <row r="1162" spans="2:54" ht="18.75" x14ac:dyDescent="0.3">
      <c r="B1162" s="32"/>
      <c r="C1162" s="659"/>
      <c r="D1162" s="26"/>
      <c r="E1162" s="695" t="str">
        <f>E1136&amp;" y "&amp;M1143</f>
        <v>Mucha capacidad productiva, con secaderos de última generación y ..........</v>
      </c>
      <c r="F1162" s="696"/>
      <c r="G1162" s="696"/>
      <c r="H1162" s="696"/>
      <c r="I1162" s="696"/>
      <c r="J1162" s="696"/>
      <c r="K1162" s="696"/>
      <c r="L1162" s="696"/>
      <c r="M1162" s="696"/>
      <c r="N1162" s="696"/>
      <c r="O1162" s="696"/>
      <c r="P1162" s="696"/>
      <c r="Q1162" s="696"/>
      <c r="R1162" s="696"/>
      <c r="S1162" s="697"/>
      <c r="T1162" s="487" t="s">
        <v>776</v>
      </c>
      <c r="U1162" s="664"/>
      <c r="V1162" s="665"/>
      <c r="W1162" s="665"/>
      <c r="X1162" s="665"/>
      <c r="Y1162" s="665"/>
      <c r="Z1162" s="665"/>
      <c r="AA1162" s="665"/>
      <c r="AB1162" s="665"/>
      <c r="AC1162" s="665"/>
      <c r="AD1162" s="665"/>
      <c r="AE1162" s="665"/>
      <c r="AF1162" s="665"/>
      <c r="AG1162" s="665"/>
      <c r="AH1162" s="665"/>
      <c r="AI1162" s="665"/>
      <c r="AJ1162" s="665"/>
      <c r="AK1162" s="665"/>
      <c r="AL1162" s="665"/>
      <c r="AM1162" s="666"/>
      <c r="AN1162" s="26"/>
      <c r="AO1162" s="26"/>
      <c r="AP1162" s="26"/>
      <c r="AQ1162" s="26"/>
      <c r="AR1162" s="26"/>
      <c r="AS1162" s="26"/>
      <c r="AT1162" s="26"/>
      <c r="AU1162" s="26"/>
      <c r="AV1162" s="27"/>
      <c r="AW1162" s="65"/>
      <c r="AX1162" s="65"/>
      <c r="AY1162" s="65"/>
      <c r="AZ1162" s="65"/>
      <c r="BA1162" s="65"/>
      <c r="BB1162" s="65"/>
    </row>
    <row r="1163" spans="2:54" ht="18.75" x14ac:dyDescent="0.3">
      <c r="B1163" s="32"/>
      <c r="C1163" s="659"/>
      <c r="D1163" s="26"/>
      <c r="E1163" s="695" t="str">
        <f>E1137&amp;" y "&amp;M1141</f>
        <v xml:space="preserve">...... y El jamón italiano de Parma </v>
      </c>
      <c r="F1163" s="696"/>
      <c r="G1163" s="696"/>
      <c r="H1163" s="696"/>
      <c r="I1163" s="696"/>
      <c r="J1163" s="696"/>
      <c r="K1163" s="696"/>
      <c r="L1163" s="696"/>
      <c r="M1163" s="696"/>
      <c r="N1163" s="696"/>
      <c r="O1163" s="696"/>
      <c r="P1163" s="696"/>
      <c r="Q1163" s="696"/>
      <c r="R1163" s="696"/>
      <c r="S1163" s="697"/>
      <c r="T1163" s="487" t="s">
        <v>776</v>
      </c>
      <c r="U1163" s="664"/>
      <c r="V1163" s="665"/>
      <c r="W1163" s="665"/>
      <c r="X1163" s="665"/>
      <c r="Y1163" s="665"/>
      <c r="Z1163" s="665"/>
      <c r="AA1163" s="665"/>
      <c r="AB1163" s="665"/>
      <c r="AC1163" s="665"/>
      <c r="AD1163" s="665"/>
      <c r="AE1163" s="665"/>
      <c r="AF1163" s="665"/>
      <c r="AG1163" s="665"/>
      <c r="AH1163" s="665"/>
      <c r="AI1163" s="665"/>
      <c r="AJ1163" s="665"/>
      <c r="AK1163" s="665"/>
      <c r="AL1163" s="665"/>
      <c r="AM1163" s="666"/>
      <c r="AN1163" s="26"/>
      <c r="AO1163" s="26"/>
      <c r="AP1163" s="26"/>
      <c r="AQ1163" s="26"/>
      <c r="AR1163" s="26"/>
      <c r="AS1163" s="26"/>
      <c r="AT1163" s="26"/>
      <c r="AU1163" s="26"/>
      <c r="AV1163" s="27"/>
      <c r="AW1163" s="65"/>
      <c r="AX1163" s="65"/>
      <c r="AY1163" s="65"/>
      <c r="AZ1163" s="65"/>
      <c r="BA1163" s="65"/>
      <c r="BB1163" s="65"/>
    </row>
    <row r="1164" spans="2:54" ht="18.75" x14ac:dyDescent="0.3">
      <c r="B1164" s="32"/>
      <c r="C1164" s="659"/>
      <c r="D1164" s="26"/>
      <c r="E1164" s="695" t="str">
        <f>E1137&amp;" y "&amp;M1142</f>
        <v>...... y Crisis alimentarias (vacas locas, pepino...)</v>
      </c>
      <c r="F1164" s="696"/>
      <c r="G1164" s="696"/>
      <c r="H1164" s="696"/>
      <c r="I1164" s="696"/>
      <c r="J1164" s="696"/>
      <c r="K1164" s="696"/>
      <c r="L1164" s="696"/>
      <c r="M1164" s="696"/>
      <c r="N1164" s="696"/>
      <c r="O1164" s="696"/>
      <c r="P1164" s="696"/>
      <c r="Q1164" s="696"/>
      <c r="R1164" s="696"/>
      <c r="S1164" s="697"/>
      <c r="T1164" s="487" t="s">
        <v>776</v>
      </c>
      <c r="U1164" s="664"/>
      <c r="V1164" s="665"/>
      <c r="W1164" s="665"/>
      <c r="X1164" s="665"/>
      <c r="Y1164" s="665"/>
      <c r="Z1164" s="665"/>
      <c r="AA1164" s="665"/>
      <c r="AB1164" s="665"/>
      <c r="AC1164" s="665"/>
      <c r="AD1164" s="665"/>
      <c r="AE1164" s="665"/>
      <c r="AF1164" s="665"/>
      <c r="AG1164" s="665"/>
      <c r="AH1164" s="665"/>
      <c r="AI1164" s="665"/>
      <c r="AJ1164" s="665"/>
      <c r="AK1164" s="665"/>
      <c r="AL1164" s="665"/>
      <c r="AM1164" s="666"/>
      <c r="AN1164" s="26"/>
      <c r="AO1164" s="26"/>
      <c r="AP1164" s="26"/>
      <c r="AQ1164" s="26"/>
      <c r="AR1164" s="26"/>
      <c r="AS1164" s="26"/>
      <c r="AT1164" s="26"/>
      <c r="AU1164" s="26"/>
      <c r="AV1164" s="27"/>
      <c r="AW1164" s="65"/>
      <c r="AX1164" s="65"/>
      <c r="AY1164" s="65"/>
      <c r="AZ1164" s="65"/>
      <c r="BA1164" s="65"/>
      <c r="BB1164" s="65"/>
    </row>
    <row r="1165" spans="2:54" ht="19.5" thickBot="1" x14ac:dyDescent="0.35">
      <c r="B1165" s="32"/>
      <c r="C1165" s="660"/>
      <c r="D1165" s="26"/>
      <c r="E1165" s="698" t="str">
        <f>E1137&amp;" y "&amp;M1143</f>
        <v>...... y ..........</v>
      </c>
      <c r="F1165" s="699"/>
      <c r="G1165" s="699"/>
      <c r="H1165" s="699"/>
      <c r="I1165" s="699"/>
      <c r="J1165" s="699"/>
      <c r="K1165" s="699"/>
      <c r="L1165" s="699"/>
      <c r="M1165" s="699"/>
      <c r="N1165" s="699"/>
      <c r="O1165" s="699"/>
      <c r="P1165" s="699"/>
      <c r="Q1165" s="699"/>
      <c r="R1165" s="699"/>
      <c r="S1165" s="700"/>
      <c r="T1165" s="487" t="s">
        <v>776</v>
      </c>
      <c r="U1165" s="667"/>
      <c r="V1165" s="668"/>
      <c r="W1165" s="668"/>
      <c r="X1165" s="668"/>
      <c r="Y1165" s="668"/>
      <c r="Z1165" s="668"/>
      <c r="AA1165" s="668"/>
      <c r="AB1165" s="668"/>
      <c r="AC1165" s="668"/>
      <c r="AD1165" s="668"/>
      <c r="AE1165" s="668"/>
      <c r="AF1165" s="668"/>
      <c r="AG1165" s="668"/>
      <c r="AH1165" s="668"/>
      <c r="AI1165" s="668"/>
      <c r="AJ1165" s="668"/>
      <c r="AK1165" s="668"/>
      <c r="AL1165" s="668"/>
      <c r="AM1165" s="669"/>
      <c r="AN1165" s="26"/>
      <c r="AO1165" s="26"/>
      <c r="AP1165" s="26"/>
      <c r="AQ1165" s="26"/>
      <c r="AR1165" s="26"/>
      <c r="AS1165" s="26"/>
      <c r="AT1165" s="26"/>
      <c r="AU1165" s="26"/>
      <c r="AV1165" s="27"/>
      <c r="AW1165" s="65"/>
      <c r="AX1165" s="65"/>
      <c r="AY1165" s="65"/>
      <c r="AZ1165" s="65"/>
      <c r="BA1165" s="65"/>
      <c r="BB1165" s="65"/>
    </row>
    <row r="1166" spans="2:54" ht="19.5" thickBot="1" x14ac:dyDescent="0.35">
      <c r="B1166" s="32"/>
      <c r="C1166" s="26"/>
      <c r="D1166" s="26"/>
      <c r="E1166" s="460"/>
      <c r="F1166" s="460"/>
      <c r="G1166" s="460"/>
      <c r="H1166" s="460"/>
      <c r="I1166" s="460"/>
      <c r="J1166" s="460"/>
      <c r="K1166" s="460"/>
      <c r="L1166" s="460"/>
      <c r="M1166" s="460"/>
      <c r="N1166" s="460"/>
      <c r="O1166" s="460"/>
      <c r="P1166" s="460"/>
      <c r="Q1166" s="460"/>
      <c r="R1166" s="460"/>
      <c r="S1166" s="460"/>
      <c r="T1166" s="26"/>
      <c r="U1166" s="26"/>
      <c r="V1166" s="26"/>
      <c r="W1166" s="26"/>
      <c r="X1166" s="26"/>
      <c r="Y1166" s="26"/>
      <c r="Z1166" s="26"/>
      <c r="AA1166" s="26"/>
      <c r="AB1166" s="26"/>
      <c r="AC1166" s="26"/>
      <c r="AD1166" s="26"/>
      <c r="AE1166" s="26"/>
      <c r="AF1166" s="26"/>
      <c r="AG1166" s="26"/>
      <c r="AH1166" s="26"/>
      <c r="AI1166" s="26"/>
      <c r="AJ1166" s="26"/>
      <c r="AK1166" s="26"/>
      <c r="AL1166" s="26"/>
      <c r="AM1166" s="26"/>
      <c r="AN1166" s="26"/>
      <c r="AO1166" s="26"/>
      <c r="AP1166" s="26"/>
      <c r="AQ1166" s="26"/>
      <c r="AR1166" s="26"/>
      <c r="AS1166" s="26"/>
      <c r="AT1166" s="26"/>
      <c r="AU1166" s="26"/>
      <c r="AV1166" s="27"/>
      <c r="AW1166" s="65"/>
      <c r="AX1166" s="65"/>
      <c r="AY1166" s="65"/>
      <c r="AZ1166" s="65"/>
      <c r="BA1166" s="65"/>
      <c r="BB1166" s="65"/>
    </row>
    <row r="1167" spans="2:54" ht="15" customHeight="1" x14ac:dyDescent="0.3">
      <c r="B1167" s="32"/>
      <c r="C1167" s="642" t="s">
        <v>759</v>
      </c>
      <c r="D1167" s="26"/>
      <c r="E1167" s="645" t="str">
        <f>M1135&amp;" y "&amp;E1141</f>
        <v>Falta de cultura empresarial en exportación y Ayudas del programa de Gestores de Exportación de las Cámaras de Comercio</v>
      </c>
      <c r="F1167" s="646"/>
      <c r="G1167" s="646"/>
      <c r="H1167" s="646"/>
      <c r="I1167" s="646"/>
      <c r="J1167" s="646"/>
      <c r="K1167" s="646"/>
      <c r="L1167" s="646"/>
      <c r="M1167" s="646"/>
      <c r="N1167" s="646"/>
      <c r="O1167" s="646"/>
      <c r="P1167" s="646"/>
      <c r="Q1167" s="646"/>
      <c r="R1167" s="646"/>
      <c r="S1167" s="647"/>
      <c r="T1167" s="487" t="s">
        <v>776</v>
      </c>
      <c r="U1167" s="661" t="s">
        <v>774</v>
      </c>
      <c r="V1167" s="662"/>
      <c r="W1167" s="662"/>
      <c r="X1167" s="662"/>
      <c r="Y1167" s="662"/>
      <c r="Z1167" s="662"/>
      <c r="AA1167" s="662"/>
      <c r="AB1167" s="662"/>
      <c r="AC1167" s="662"/>
      <c r="AD1167" s="662"/>
      <c r="AE1167" s="662"/>
      <c r="AF1167" s="662"/>
      <c r="AG1167" s="662"/>
      <c r="AH1167" s="662"/>
      <c r="AI1167" s="662"/>
      <c r="AJ1167" s="662"/>
      <c r="AK1167" s="662"/>
      <c r="AL1167" s="662"/>
      <c r="AM1167" s="663"/>
      <c r="AN1167" s="26"/>
      <c r="AO1167" s="26"/>
      <c r="AP1167" s="26"/>
      <c r="AQ1167" s="26"/>
      <c r="AR1167" s="26"/>
      <c r="AS1167" s="26"/>
      <c r="AT1167" s="26"/>
      <c r="AU1167" s="26"/>
      <c r="AV1167" s="27"/>
      <c r="AW1167" s="65"/>
      <c r="AX1167" s="65"/>
      <c r="AY1167" s="65"/>
      <c r="AZ1167" s="65"/>
      <c r="BA1167" s="65"/>
      <c r="BB1167" s="65"/>
    </row>
    <row r="1168" spans="2:54" ht="18.75" x14ac:dyDescent="0.3">
      <c r="B1168" s="32"/>
      <c r="C1168" s="643"/>
      <c r="D1168" s="26"/>
      <c r="E1168" s="648" t="str">
        <f>M1135&amp;" y "&amp;E1142</f>
        <v>Falta de cultura empresarial en exportación y Gusto por el buen jamón de los extranjeros</v>
      </c>
      <c r="F1168" s="649"/>
      <c r="G1168" s="649"/>
      <c r="H1168" s="649"/>
      <c r="I1168" s="649"/>
      <c r="J1168" s="649"/>
      <c r="K1168" s="649"/>
      <c r="L1168" s="649"/>
      <c r="M1168" s="649"/>
      <c r="N1168" s="649"/>
      <c r="O1168" s="649"/>
      <c r="P1168" s="649"/>
      <c r="Q1168" s="649"/>
      <c r="R1168" s="649"/>
      <c r="S1168" s="650"/>
      <c r="T1168" s="487" t="s">
        <v>776</v>
      </c>
      <c r="U1168" s="664"/>
      <c r="V1168" s="665"/>
      <c r="W1168" s="665"/>
      <c r="X1168" s="665"/>
      <c r="Y1168" s="665"/>
      <c r="Z1168" s="665"/>
      <c r="AA1168" s="665"/>
      <c r="AB1168" s="665"/>
      <c r="AC1168" s="665"/>
      <c r="AD1168" s="665"/>
      <c r="AE1168" s="665"/>
      <c r="AF1168" s="665"/>
      <c r="AG1168" s="665"/>
      <c r="AH1168" s="665"/>
      <c r="AI1168" s="665"/>
      <c r="AJ1168" s="665"/>
      <c r="AK1168" s="665"/>
      <c r="AL1168" s="665"/>
      <c r="AM1168" s="666"/>
      <c r="AN1168" s="26"/>
      <c r="AO1168" s="26"/>
      <c r="AP1168" s="26"/>
      <c r="AQ1168" s="26"/>
      <c r="AR1168" s="26"/>
      <c r="AS1168" s="26"/>
      <c r="AT1168" s="26"/>
      <c r="AU1168" s="26"/>
      <c r="AV1168" s="27"/>
      <c r="AW1168" s="65"/>
      <c r="AX1168" s="65"/>
      <c r="AY1168" s="65"/>
      <c r="AZ1168" s="65"/>
      <c r="BA1168" s="65"/>
      <c r="BB1168" s="65"/>
    </row>
    <row r="1169" spans="2:54" ht="18.75" x14ac:dyDescent="0.3">
      <c r="B1169" s="32"/>
      <c r="C1169" s="643"/>
      <c r="D1169" s="26"/>
      <c r="E1169" s="648" t="str">
        <f>M1135&amp;" y "&amp;E1143</f>
        <v>Falta de cultura empresarial en exportación y ..........</v>
      </c>
      <c r="F1169" s="649"/>
      <c r="G1169" s="649"/>
      <c r="H1169" s="649"/>
      <c r="I1169" s="649"/>
      <c r="J1169" s="649"/>
      <c r="K1169" s="649"/>
      <c r="L1169" s="649"/>
      <c r="M1169" s="649"/>
      <c r="N1169" s="649"/>
      <c r="O1169" s="649"/>
      <c r="P1169" s="649"/>
      <c r="Q1169" s="649"/>
      <c r="R1169" s="649"/>
      <c r="S1169" s="650"/>
      <c r="T1169" s="487" t="s">
        <v>776</v>
      </c>
      <c r="U1169" s="664"/>
      <c r="V1169" s="665"/>
      <c r="W1169" s="665"/>
      <c r="X1169" s="665"/>
      <c r="Y1169" s="665"/>
      <c r="Z1169" s="665"/>
      <c r="AA1169" s="665"/>
      <c r="AB1169" s="665"/>
      <c r="AC1169" s="665"/>
      <c r="AD1169" s="665"/>
      <c r="AE1169" s="665"/>
      <c r="AF1169" s="665"/>
      <c r="AG1169" s="665"/>
      <c r="AH1169" s="665"/>
      <c r="AI1169" s="665"/>
      <c r="AJ1169" s="665"/>
      <c r="AK1169" s="665"/>
      <c r="AL1169" s="665"/>
      <c r="AM1169" s="666"/>
      <c r="AN1169" s="26"/>
      <c r="AO1169" s="26"/>
      <c r="AP1169" s="26"/>
      <c r="AQ1169" s="26"/>
      <c r="AR1169" s="26"/>
      <c r="AS1169" s="26"/>
      <c r="AT1169" s="26"/>
      <c r="AU1169" s="26"/>
      <c r="AV1169" s="27"/>
      <c r="AW1169" s="65"/>
      <c r="AX1169" s="65"/>
      <c r="AY1169" s="65"/>
      <c r="AZ1169" s="65"/>
      <c r="BA1169" s="65"/>
      <c r="BB1169" s="65"/>
    </row>
    <row r="1170" spans="2:54" ht="18.75" x14ac:dyDescent="0.3">
      <c r="B1170" s="32"/>
      <c r="C1170" s="643"/>
      <c r="D1170" s="26"/>
      <c r="E1170" s="648" t="str">
        <f>M1136&amp;" y "&amp;E1141</f>
        <v>No sabemos idiomas y Ayudas del programa de Gestores de Exportación de las Cámaras de Comercio</v>
      </c>
      <c r="F1170" s="649"/>
      <c r="G1170" s="649"/>
      <c r="H1170" s="649"/>
      <c r="I1170" s="649"/>
      <c r="J1170" s="649"/>
      <c r="K1170" s="649"/>
      <c r="L1170" s="649"/>
      <c r="M1170" s="649"/>
      <c r="N1170" s="649"/>
      <c r="O1170" s="649"/>
      <c r="P1170" s="649"/>
      <c r="Q1170" s="649"/>
      <c r="R1170" s="649"/>
      <c r="S1170" s="650"/>
      <c r="T1170" s="487" t="s">
        <v>776</v>
      </c>
      <c r="U1170" s="664"/>
      <c r="V1170" s="665"/>
      <c r="W1170" s="665"/>
      <c r="X1170" s="665"/>
      <c r="Y1170" s="665"/>
      <c r="Z1170" s="665"/>
      <c r="AA1170" s="665"/>
      <c r="AB1170" s="665"/>
      <c r="AC1170" s="665"/>
      <c r="AD1170" s="665"/>
      <c r="AE1170" s="665"/>
      <c r="AF1170" s="665"/>
      <c r="AG1170" s="665"/>
      <c r="AH1170" s="665"/>
      <c r="AI1170" s="665"/>
      <c r="AJ1170" s="665"/>
      <c r="AK1170" s="665"/>
      <c r="AL1170" s="665"/>
      <c r="AM1170" s="666"/>
      <c r="AN1170" s="26"/>
      <c r="AO1170" s="26"/>
      <c r="AP1170" s="26"/>
      <c r="AQ1170" s="26"/>
      <c r="AR1170" s="26"/>
      <c r="AS1170" s="26"/>
      <c r="AT1170" s="26"/>
      <c r="AU1170" s="26"/>
      <c r="AV1170" s="27"/>
      <c r="AW1170" s="65"/>
      <c r="AX1170" s="65"/>
      <c r="AY1170" s="65"/>
      <c r="AZ1170" s="65"/>
      <c r="BA1170" s="65"/>
      <c r="BB1170" s="65"/>
    </row>
    <row r="1171" spans="2:54" ht="18.75" x14ac:dyDescent="0.3">
      <c r="B1171" s="32"/>
      <c r="C1171" s="643"/>
      <c r="D1171" s="26"/>
      <c r="E1171" s="648" t="str">
        <f>M1136&amp;" y "&amp;E1142</f>
        <v>No sabemos idiomas y Gusto por el buen jamón de los extranjeros</v>
      </c>
      <c r="F1171" s="649"/>
      <c r="G1171" s="649"/>
      <c r="H1171" s="649"/>
      <c r="I1171" s="649"/>
      <c r="J1171" s="649"/>
      <c r="K1171" s="649"/>
      <c r="L1171" s="649"/>
      <c r="M1171" s="649"/>
      <c r="N1171" s="649"/>
      <c r="O1171" s="649"/>
      <c r="P1171" s="649"/>
      <c r="Q1171" s="649"/>
      <c r="R1171" s="649"/>
      <c r="S1171" s="650"/>
      <c r="T1171" s="487" t="s">
        <v>776</v>
      </c>
      <c r="U1171" s="664"/>
      <c r="V1171" s="665"/>
      <c r="W1171" s="665"/>
      <c r="X1171" s="665"/>
      <c r="Y1171" s="665"/>
      <c r="Z1171" s="665"/>
      <c r="AA1171" s="665"/>
      <c r="AB1171" s="665"/>
      <c r="AC1171" s="665"/>
      <c r="AD1171" s="665"/>
      <c r="AE1171" s="665"/>
      <c r="AF1171" s="665"/>
      <c r="AG1171" s="665"/>
      <c r="AH1171" s="665"/>
      <c r="AI1171" s="665"/>
      <c r="AJ1171" s="665"/>
      <c r="AK1171" s="665"/>
      <c r="AL1171" s="665"/>
      <c r="AM1171" s="666"/>
      <c r="AN1171" s="26"/>
      <c r="AO1171" s="26"/>
      <c r="AP1171" s="26"/>
      <c r="AQ1171" s="26"/>
      <c r="AR1171" s="26"/>
      <c r="AS1171" s="26"/>
      <c r="AT1171" s="26"/>
      <c r="AU1171" s="26"/>
      <c r="AV1171" s="27"/>
      <c r="AW1171" s="65"/>
      <c r="AX1171" s="65"/>
      <c r="AY1171" s="65"/>
      <c r="AZ1171" s="65"/>
      <c r="BA1171" s="65"/>
      <c r="BB1171" s="65"/>
    </row>
    <row r="1172" spans="2:54" ht="18.75" x14ac:dyDescent="0.3">
      <c r="B1172" s="32"/>
      <c r="C1172" s="643"/>
      <c r="D1172" s="26"/>
      <c r="E1172" s="648" t="str">
        <f>M1136&amp;" y "&amp;E1143</f>
        <v>No sabemos idiomas y ..........</v>
      </c>
      <c r="F1172" s="649"/>
      <c r="G1172" s="649"/>
      <c r="H1172" s="649"/>
      <c r="I1172" s="649"/>
      <c r="J1172" s="649"/>
      <c r="K1172" s="649"/>
      <c r="L1172" s="649"/>
      <c r="M1172" s="649"/>
      <c r="N1172" s="649"/>
      <c r="O1172" s="649"/>
      <c r="P1172" s="649"/>
      <c r="Q1172" s="649"/>
      <c r="R1172" s="649"/>
      <c r="S1172" s="650"/>
      <c r="T1172" s="487" t="s">
        <v>776</v>
      </c>
      <c r="U1172" s="664"/>
      <c r="V1172" s="665"/>
      <c r="W1172" s="665"/>
      <c r="X1172" s="665"/>
      <c r="Y1172" s="665"/>
      <c r="Z1172" s="665"/>
      <c r="AA1172" s="665"/>
      <c r="AB1172" s="665"/>
      <c r="AC1172" s="665"/>
      <c r="AD1172" s="665"/>
      <c r="AE1172" s="665"/>
      <c r="AF1172" s="665"/>
      <c r="AG1172" s="665"/>
      <c r="AH1172" s="665"/>
      <c r="AI1172" s="665"/>
      <c r="AJ1172" s="665"/>
      <c r="AK1172" s="665"/>
      <c r="AL1172" s="665"/>
      <c r="AM1172" s="666"/>
      <c r="AN1172" s="26"/>
      <c r="AO1172" s="26"/>
      <c r="AP1172" s="26"/>
      <c r="AQ1172" s="26"/>
      <c r="AR1172" s="26"/>
      <c r="AS1172" s="26"/>
      <c r="AT1172" s="26"/>
      <c r="AU1172" s="26"/>
      <c r="AV1172" s="27"/>
      <c r="AW1172" s="65"/>
      <c r="AX1172" s="65"/>
      <c r="AY1172" s="65"/>
      <c r="AZ1172" s="65"/>
      <c r="BA1172" s="65"/>
      <c r="BB1172" s="65"/>
    </row>
    <row r="1173" spans="2:54" ht="18.75" x14ac:dyDescent="0.3">
      <c r="B1173" s="32"/>
      <c r="C1173" s="643"/>
      <c r="D1173" s="26"/>
      <c r="E1173" s="648" t="str">
        <f>M1137&amp;" y "&amp;E1141</f>
        <v>........ y Ayudas del programa de Gestores de Exportación de las Cámaras de Comercio</v>
      </c>
      <c r="F1173" s="649"/>
      <c r="G1173" s="649"/>
      <c r="H1173" s="649"/>
      <c r="I1173" s="649"/>
      <c r="J1173" s="649"/>
      <c r="K1173" s="649"/>
      <c r="L1173" s="649"/>
      <c r="M1173" s="649"/>
      <c r="N1173" s="649"/>
      <c r="O1173" s="649"/>
      <c r="P1173" s="649"/>
      <c r="Q1173" s="649"/>
      <c r="R1173" s="649"/>
      <c r="S1173" s="650"/>
      <c r="T1173" s="487" t="s">
        <v>776</v>
      </c>
      <c r="U1173" s="664"/>
      <c r="V1173" s="665"/>
      <c r="W1173" s="665"/>
      <c r="X1173" s="665"/>
      <c r="Y1173" s="665"/>
      <c r="Z1173" s="665"/>
      <c r="AA1173" s="665"/>
      <c r="AB1173" s="665"/>
      <c r="AC1173" s="665"/>
      <c r="AD1173" s="665"/>
      <c r="AE1173" s="665"/>
      <c r="AF1173" s="665"/>
      <c r="AG1173" s="665"/>
      <c r="AH1173" s="665"/>
      <c r="AI1173" s="665"/>
      <c r="AJ1173" s="665"/>
      <c r="AK1173" s="665"/>
      <c r="AL1173" s="665"/>
      <c r="AM1173" s="666"/>
      <c r="AN1173" s="26"/>
      <c r="AO1173" s="26"/>
      <c r="AP1173" s="26"/>
      <c r="AQ1173" s="26"/>
      <c r="AR1173" s="26"/>
      <c r="AS1173" s="26"/>
      <c r="AT1173" s="26"/>
      <c r="AU1173" s="26"/>
      <c r="AV1173" s="27"/>
      <c r="AW1173" s="65"/>
      <c r="AX1173" s="65"/>
      <c r="AY1173" s="65"/>
      <c r="AZ1173" s="65"/>
      <c r="BA1173" s="65"/>
      <c r="BB1173" s="65"/>
    </row>
    <row r="1174" spans="2:54" ht="18.75" x14ac:dyDescent="0.3">
      <c r="B1174" s="32"/>
      <c r="C1174" s="643"/>
      <c r="D1174" s="26"/>
      <c r="E1174" s="648" t="str">
        <f>M1137&amp;" y "&amp;E1142</f>
        <v>........ y Gusto por el buen jamón de los extranjeros</v>
      </c>
      <c r="F1174" s="649"/>
      <c r="G1174" s="649"/>
      <c r="H1174" s="649"/>
      <c r="I1174" s="649"/>
      <c r="J1174" s="649"/>
      <c r="K1174" s="649"/>
      <c r="L1174" s="649"/>
      <c r="M1174" s="649"/>
      <c r="N1174" s="649"/>
      <c r="O1174" s="649"/>
      <c r="P1174" s="649"/>
      <c r="Q1174" s="649"/>
      <c r="R1174" s="649"/>
      <c r="S1174" s="650"/>
      <c r="T1174" s="487" t="s">
        <v>776</v>
      </c>
      <c r="U1174" s="664"/>
      <c r="V1174" s="665"/>
      <c r="W1174" s="665"/>
      <c r="X1174" s="665"/>
      <c r="Y1174" s="665"/>
      <c r="Z1174" s="665"/>
      <c r="AA1174" s="665"/>
      <c r="AB1174" s="665"/>
      <c r="AC1174" s="665"/>
      <c r="AD1174" s="665"/>
      <c r="AE1174" s="665"/>
      <c r="AF1174" s="665"/>
      <c r="AG1174" s="665"/>
      <c r="AH1174" s="665"/>
      <c r="AI1174" s="665"/>
      <c r="AJ1174" s="665"/>
      <c r="AK1174" s="665"/>
      <c r="AL1174" s="665"/>
      <c r="AM1174" s="666"/>
      <c r="AN1174" s="26"/>
      <c r="AO1174" s="26"/>
      <c r="AP1174" s="26"/>
      <c r="AQ1174" s="26"/>
      <c r="AR1174" s="26"/>
      <c r="AS1174" s="26"/>
      <c r="AT1174" s="26"/>
      <c r="AU1174" s="26"/>
      <c r="AV1174" s="27"/>
      <c r="AW1174" s="65"/>
      <c r="AX1174" s="65"/>
      <c r="AY1174" s="65"/>
      <c r="AZ1174" s="65"/>
      <c r="BA1174" s="65"/>
      <c r="BB1174" s="65"/>
    </row>
    <row r="1175" spans="2:54" ht="19.5" thickBot="1" x14ac:dyDescent="0.35">
      <c r="B1175" s="32"/>
      <c r="C1175" s="644"/>
      <c r="D1175" s="26"/>
      <c r="E1175" s="651" t="str">
        <f>M1137&amp;" y "&amp;E1143</f>
        <v>........ y ..........</v>
      </c>
      <c r="F1175" s="652"/>
      <c r="G1175" s="652"/>
      <c r="H1175" s="652"/>
      <c r="I1175" s="652"/>
      <c r="J1175" s="652"/>
      <c r="K1175" s="652"/>
      <c r="L1175" s="652"/>
      <c r="M1175" s="652"/>
      <c r="N1175" s="652"/>
      <c r="O1175" s="652"/>
      <c r="P1175" s="652"/>
      <c r="Q1175" s="652"/>
      <c r="R1175" s="652"/>
      <c r="S1175" s="653"/>
      <c r="T1175" s="487" t="s">
        <v>776</v>
      </c>
      <c r="U1175" s="667"/>
      <c r="V1175" s="668"/>
      <c r="W1175" s="668"/>
      <c r="X1175" s="668"/>
      <c r="Y1175" s="668"/>
      <c r="Z1175" s="668"/>
      <c r="AA1175" s="668"/>
      <c r="AB1175" s="668"/>
      <c r="AC1175" s="668"/>
      <c r="AD1175" s="668"/>
      <c r="AE1175" s="668"/>
      <c r="AF1175" s="668"/>
      <c r="AG1175" s="668"/>
      <c r="AH1175" s="668"/>
      <c r="AI1175" s="668"/>
      <c r="AJ1175" s="668"/>
      <c r="AK1175" s="668"/>
      <c r="AL1175" s="668"/>
      <c r="AM1175" s="669"/>
      <c r="AN1175" s="26"/>
      <c r="AO1175" s="26"/>
      <c r="AP1175" s="26"/>
      <c r="AQ1175" s="26"/>
      <c r="AR1175" s="26"/>
      <c r="AS1175" s="26"/>
      <c r="AT1175" s="26"/>
      <c r="AU1175" s="26"/>
      <c r="AV1175" s="27"/>
      <c r="AW1175" s="65"/>
      <c r="AX1175" s="65"/>
      <c r="AY1175" s="65"/>
      <c r="AZ1175" s="65"/>
      <c r="BA1175" s="65"/>
      <c r="BB1175" s="65"/>
    </row>
    <row r="1176" spans="2:54" ht="19.5" thickBot="1" x14ac:dyDescent="0.35">
      <c r="B1176" s="32"/>
      <c r="C1176" s="26"/>
      <c r="D1176" s="26"/>
      <c r="E1176" s="460"/>
      <c r="F1176" s="460"/>
      <c r="G1176" s="460"/>
      <c r="H1176" s="460"/>
      <c r="I1176" s="460"/>
      <c r="J1176" s="460"/>
      <c r="K1176" s="460"/>
      <c r="L1176" s="460"/>
      <c r="M1176" s="460"/>
      <c r="N1176" s="460"/>
      <c r="O1176" s="460"/>
      <c r="P1176" s="460"/>
      <c r="Q1176" s="460"/>
      <c r="R1176" s="460"/>
      <c r="S1176" s="460"/>
      <c r="T1176" s="26"/>
      <c r="U1176" s="26"/>
      <c r="V1176" s="26"/>
      <c r="W1176" s="26"/>
      <c r="X1176" s="26"/>
      <c r="Y1176" s="26"/>
      <c r="Z1176" s="26"/>
      <c r="AA1176" s="26"/>
      <c r="AB1176" s="26"/>
      <c r="AC1176" s="26"/>
      <c r="AD1176" s="26"/>
      <c r="AE1176" s="26"/>
      <c r="AF1176" s="26"/>
      <c r="AG1176" s="26"/>
      <c r="AH1176" s="26"/>
      <c r="AI1176" s="26"/>
      <c r="AJ1176" s="26"/>
      <c r="AK1176" s="26"/>
      <c r="AL1176" s="26"/>
      <c r="AM1176" s="26"/>
      <c r="AN1176" s="26"/>
      <c r="AO1176" s="26"/>
      <c r="AP1176" s="26"/>
      <c r="AQ1176" s="26"/>
      <c r="AR1176" s="26"/>
      <c r="AS1176" s="26"/>
      <c r="AT1176" s="26"/>
      <c r="AU1176" s="26"/>
      <c r="AV1176" s="27"/>
      <c r="AW1176" s="65"/>
      <c r="AX1176" s="65"/>
      <c r="AY1176" s="65"/>
      <c r="AZ1176" s="65"/>
      <c r="BA1176" s="65"/>
      <c r="BB1176" s="65"/>
    </row>
    <row r="1177" spans="2:54" ht="15" customHeight="1" x14ac:dyDescent="0.3">
      <c r="B1177" s="32"/>
      <c r="C1177" s="624" t="s">
        <v>760</v>
      </c>
      <c r="D1177" s="26"/>
      <c r="E1177" s="627" t="str">
        <f>M1135&amp;" y "&amp;M1141</f>
        <v xml:space="preserve">Falta de cultura empresarial en exportación y El jamón italiano de Parma </v>
      </c>
      <c r="F1177" s="628"/>
      <c r="G1177" s="628"/>
      <c r="H1177" s="628"/>
      <c r="I1177" s="628"/>
      <c r="J1177" s="628"/>
      <c r="K1177" s="628"/>
      <c r="L1177" s="628"/>
      <c r="M1177" s="628"/>
      <c r="N1177" s="628"/>
      <c r="O1177" s="628"/>
      <c r="P1177" s="628"/>
      <c r="Q1177" s="628"/>
      <c r="R1177" s="628"/>
      <c r="S1177" s="629"/>
      <c r="T1177" s="487" t="s">
        <v>776</v>
      </c>
      <c r="U1177" s="661" t="s">
        <v>775</v>
      </c>
      <c r="V1177" s="662"/>
      <c r="W1177" s="662"/>
      <c r="X1177" s="662"/>
      <c r="Y1177" s="662"/>
      <c r="Z1177" s="662"/>
      <c r="AA1177" s="662"/>
      <c r="AB1177" s="662"/>
      <c r="AC1177" s="662"/>
      <c r="AD1177" s="662"/>
      <c r="AE1177" s="662"/>
      <c r="AF1177" s="662"/>
      <c r="AG1177" s="662"/>
      <c r="AH1177" s="662"/>
      <c r="AI1177" s="662"/>
      <c r="AJ1177" s="662"/>
      <c r="AK1177" s="662"/>
      <c r="AL1177" s="662"/>
      <c r="AM1177" s="663"/>
      <c r="AN1177" s="26"/>
      <c r="AO1177" s="26"/>
      <c r="AP1177" s="26"/>
      <c r="AQ1177" s="26"/>
      <c r="AR1177" s="26"/>
      <c r="AS1177" s="26"/>
      <c r="AT1177" s="26"/>
      <c r="AU1177" s="26"/>
      <c r="AV1177" s="27"/>
      <c r="AW1177" s="65"/>
      <c r="AX1177" s="65"/>
      <c r="AY1177" s="65"/>
      <c r="AZ1177" s="65"/>
      <c r="BA1177" s="65"/>
      <c r="BB1177" s="65"/>
    </row>
    <row r="1178" spans="2:54" ht="18.75" x14ac:dyDescent="0.3">
      <c r="B1178" s="32"/>
      <c r="C1178" s="625"/>
      <c r="D1178" s="26"/>
      <c r="E1178" s="630" t="str">
        <f>M1135&amp;" y "&amp;M1142</f>
        <v>Falta de cultura empresarial en exportación y Crisis alimentarias (vacas locas, pepino...)</v>
      </c>
      <c r="F1178" s="631"/>
      <c r="G1178" s="631"/>
      <c r="H1178" s="631"/>
      <c r="I1178" s="631"/>
      <c r="J1178" s="631"/>
      <c r="K1178" s="631"/>
      <c r="L1178" s="631"/>
      <c r="M1178" s="631"/>
      <c r="N1178" s="631"/>
      <c r="O1178" s="631"/>
      <c r="P1178" s="631"/>
      <c r="Q1178" s="631"/>
      <c r="R1178" s="631"/>
      <c r="S1178" s="632"/>
      <c r="T1178" s="487" t="s">
        <v>776</v>
      </c>
      <c r="U1178" s="664"/>
      <c r="V1178" s="665"/>
      <c r="W1178" s="665"/>
      <c r="X1178" s="665"/>
      <c r="Y1178" s="665"/>
      <c r="Z1178" s="665"/>
      <c r="AA1178" s="665"/>
      <c r="AB1178" s="665"/>
      <c r="AC1178" s="665"/>
      <c r="AD1178" s="665"/>
      <c r="AE1178" s="665"/>
      <c r="AF1178" s="665"/>
      <c r="AG1178" s="665"/>
      <c r="AH1178" s="665"/>
      <c r="AI1178" s="665"/>
      <c r="AJ1178" s="665"/>
      <c r="AK1178" s="665"/>
      <c r="AL1178" s="665"/>
      <c r="AM1178" s="666"/>
      <c r="AN1178" s="26"/>
      <c r="AO1178" s="26"/>
      <c r="AP1178" s="26"/>
      <c r="AQ1178" s="26"/>
      <c r="AR1178" s="26"/>
      <c r="AS1178" s="26"/>
      <c r="AT1178" s="26"/>
      <c r="AU1178" s="26"/>
      <c r="AV1178" s="27"/>
      <c r="AW1178" s="65"/>
      <c r="AX1178" s="65"/>
      <c r="AY1178" s="65"/>
      <c r="AZ1178" s="65"/>
      <c r="BA1178" s="65"/>
      <c r="BB1178" s="65"/>
    </row>
    <row r="1179" spans="2:54" ht="18.75" x14ac:dyDescent="0.3">
      <c r="B1179" s="32"/>
      <c r="C1179" s="625"/>
      <c r="D1179" s="26"/>
      <c r="E1179" s="630" t="str">
        <f>M1135&amp;" y "&amp;M1143</f>
        <v>Falta de cultura empresarial en exportación y ..........</v>
      </c>
      <c r="F1179" s="631"/>
      <c r="G1179" s="631"/>
      <c r="H1179" s="631"/>
      <c r="I1179" s="631"/>
      <c r="J1179" s="631"/>
      <c r="K1179" s="631"/>
      <c r="L1179" s="631"/>
      <c r="M1179" s="631"/>
      <c r="N1179" s="631"/>
      <c r="O1179" s="631"/>
      <c r="P1179" s="631"/>
      <c r="Q1179" s="631"/>
      <c r="R1179" s="631"/>
      <c r="S1179" s="632"/>
      <c r="T1179" s="487" t="s">
        <v>776</v>
      </c>
      <c r="U1179" s="664"/>
      <c r="V1179" s="665"/>
      <c r="W1179" s="665"/>
      <c r="X1179" s="665"/>
      <c r="Y1179" s="665"/>
      <c r="Z1179" s="665"/>
      <c r="AA1179" s="665"/>
      <c r="AB1179" s="665"/>
      <c r="AC1179" s="665"/>
      <c r="AD1179" s="665"/>
      <c r="AE1179" s="665"/>
      <c r="AF1179" s="665"/>
      <c r="AG1179" s="665"/>
      <c r="AH1179" s="665"/>
      <c r="AI1179" s="665"/>
      <c r="AJ1179" s="665"/>
      <c r="AK1179" s="665"/>
      <c r="AL1179" s="665"/>
      <c r="AM1179" s="666"/>
      <c r="AN1179" s="26"/>
      <c r="AO1179" s="26"/>
      <c r="AP1179" s="26"/>
      <c r="AQ1179" s="26"/>
      <c r="AR1179" s="26"/>
      <c r="AS1179" s="26"/>
      <c r="AT1179" s="26"/>
      <c r="AU1179" s="26"/>
      <c r="AV1179" s="27"/>
      <c r="AW1179" s="65"/>
      <c r="AX1179" s="65"/>
      <c r="AY1179" s="65"/>
      <c r="AZ1179" s="65"/>
      <c r="BA1179" s="65"/>
      <c r="BB1179" s="65"/>
    </row>
    <row r="1180" spans="2:54" ht="18.75" x14ac:dyDescent="0.3">
      <c r="B1180" s="32"/>
      <c r="C1180" s="625"/>
      <c r="D1180" s="26"/>
      <c r="E1180" s="630" t="str">
        <f>M1136&amp;" y "&amp;M1141</f>
        <v xml:space="preserve">No sabemos idiomas y El jamón italiano de Parma </v>
      </c>
      <c r="F1180" s="631"/>
      <c r="G1180" s="631"/>
      <c r="H1180" s="631"/>
      <c r="I1180" s="631"/>
      <c r="J1180" s="631"/>
      <c r="K1180" s="631"/>
      <c r="L1180" s="631"/>
      <c r="M1180" s="631"/>
      <c r="N1180" s="631"/>
      <c r="O1180" s="631"/>
      <c r="P1180" s="631"/>
      <c r="Q1180" s="631"/>
      <c r="R1180" s="631"/>
      <c r="S1180" s="632"/>
      <c r="T1180" s="487" t="s">
        <v>776</v>
      </c>
      <c r="U1180" s="664"/>
      <c r="V1180" s="665"/>
      <c r="W1180" s="665"/>
      <c r="X1180" s="665"/>
      <c r="Y1180" s="665"/>
      <c r="Z1180" s="665"/>
      <c r="AA1180" s="665"/>
      <c r="AB1180" s="665"/>
      <c r="AC1180" s="665"/>
      <c r="AD1180" s="665"/>
      <c r="AE1180" s="665"/>
      <c r="AF1180" s="665"/>
      <c r="AG1180" s="665"/>
      <c r="AH1180" s="665"/>
      <c r="AI1180" s="665"/>
      <c r="AJ1180" s="665"/>
      <c r="AK1180" s="665"/>
      <c r="AL1180" s="665"/>
      <c r="AM1180" s="666"/>
      <c r="AN1180" s="26"/>
      <c r="AO1180" s="26"/>
      <c r="AP1180" s="26"/>
      <c r="AQ1180" s="26"/>
      <c r="AR1180" s="26"/>
      <c r="AS1180" s="26"/>
      <c r="AT1180" s="26"/>
      <c r="AU1180" s="26"/>
      <c r="AV1180" s="27"/>
      <c r="AW1180" s="65"/>
      <c r="AX1180" s="65"/>
      <c r="AY1180" s="65"/>
      <c r="AZ1180" s="65"/>
      <c r="BA1180" s="65"/>
      <c r="BB1180" s="65"/>
    </row>
    <row r="1181" spans="2:54" ht="18.75" x14ac:dyDescent="0.3">
      <c r="B1181" s="32"/>
      <c r="C1181" s="625"/>
      <c r="D1181" s="26"/>
      <c r="E1181" s="630" t="str">
        <f>M1136&amp;" y "&amp;M1142</f>
        <v>No sabemos idiomas y Crisis alimentarias (vacas locas, pepino...)</v>
      </c>
      <c r="F1181" s="631"/>
      <c r="G1181" s="631"/>
      <c r="H1181" s="631"/>
      <c r="I1181" s="631"/>
      <c r="J1181" s="631"/>
      <c r="K1181" s="631"/>
      <c r="L1181" s="631"/>
      <c r="M1181" s="631"/>
      <c r="N1181" s="631"/>
      <c r="O1181" s="631"/>
      <c r="P1181" s="631"/>
      <c r="Q1181" s="631"/>
      <c r="R1181" s="631"/>
      <c r="S1181" s="632"/>
      <c r="T1181" s="487" t="s">
        <v>776</v>
      </c>
      <c r="U1181" s="664"/>
      <c r="V1181" s="665"/>
      <c r="W1181" s="665"/>
      <c r="X1181" s="665"/>
      <c r="Y1181" s="665"/>
      <c r="Z1181" s="665"/>
      <c r="AA1181" s="665"/>
      <c r="AB1181" s="665"/>
      <c r="AC1181" s="665"/>
      <c r="AD1181" s="665"/>
      <c r="AE1181" s="665"/>
      <c r="AF1181" s="665"/>
      <c r="AG1181" s="665"/>
      <c r="AH1181" s="665"/>
      <c r="AI1181" s="665"/>
      <c r="AJ1181" s="665"/>
      <c r="AK1181" s="665"/>
      <c r="AL1181" s="665"/>
      <c r="AM1181" s="666"/>
      <c r="AN1181" s="26"/>
      <c r="AO1181" s="26"/>
      <c r="AP1181" s="26"/>
      <c r="AQ1181" s="26"/>
      <c r="AR1181" s="26"/>
      <c r="AS1181" s="26"/>
      <c r="AT1181" s="26"/>
      <c r="AU1181" s="26"/>
      <c r="AV1181" s="27"/>
      <c r="AW1181" s="65"/>
      <c r="AX1181" s="65"/>
      <c r="AY1181" s="65"/>
      <c r="AZ1181" s="65"/>
      <c r="BA1181" s="65"/>
      <c r="BB1181" s="65"/>
    </row>
    <row r="1182" spans="2:54" ht="18.75" x14ac:dyDescent="0.3">
      <c r="B1182" s="32"/>
      <c r="C1182" s="625"/>
      <c r="D1182" s="26"/>
      <c r="E1182" s="630" t="str">
        <f>M1136&amp;" y "&amp;M1143</f>
        <v>No sabemos idiomas y ..........</v>
      </c>
      <c r="F1182" s="631"/>
      <c r="G1182" s="631"/>
      <c r="H1182" s="631"/>
      <c r="I1182" s="631"/>
      <c r="J1182" s="631"/>
      <c r="K1182" s="631"/>
      <c r="L1182" s="631"/>
      <c r="M1182" s="631"/>
      <c r="N1182" s="631"/>
      <c r="O1182" s="631"/>
      <c r="P1182" s="631"/>
      <c r="Q1182" s="631"/>
      <c r="R1182" s="631"/>
      <c r="S1182" s="632"/>
      <c r="T1182" s="487" t="s">
        <v>776</v>
      </c>
      <c r="U1182" s="664"/>
      <c r="V1182" s="665"/>
      <c r="W1182" s="665"/>
      <c r="X1182" s="665"/>
      <c r="Y1182" s="665"/>
      <c r="Z1182" s="665"/>
      <c r="AA1182" s="665"/>
      <c r="AB1182" s="665"/>
      <c r="AC1182" s="665"/>
      <c r="AD1182" s="665"/>
      <c r="AE1182" s="665"/>
      <c r="AF1182" s="665"/>
      <c r="AG1182" s="665"/>
      <c r="AH1182" s="665"/>
      <c r="AI1182" s="665"/>
      <c r="AJ1182" s="665"/>
      <c r="AK1182" s="665"/>
      <c r="AL1182" s="665"/>
      <c r="AM1182" s="666"/>
      <c r="AN1182" s="26"/>
      <c r="AO1182" s="26"/>
      <c r="AP1182" s="26"/>
      <c r="AQ1182" s="26"/>
      <c r="AR1182" s="26"/>
      <c r="AS1182" s="26"/>
      <c r="AT1182" s="26"/>
      <c r="AU1182" s="26"/>
      <c r="AV1182" s="27"/>
      <c r="AW1182" s="65"/>
      <c r="AX1182" s="65"/>
      <c r="AY1182" s="65"/>
      <c r="AZ1182" s="65"/>
      <c r="BA1182" s="65"/>
      <c r="BB1182" s="65"/>
    </row>
    <row r="1183" spans="2:54" ht="18.75" x14ac:dyDescent="0.3">
      <c r="B1183" s="32"/>
      <c r="C1183" s="625"/>
      <c r="D1183" s="26"/>
      <c r="E1183" s="630" t="str">
        <f>M1137&amp;" y "&amp;M1141</f>
        <v xml:space="preserve">........ y El jamón italiano de Parma </v>
      </c>
      <c r="F1183" s="631"/>
      <c r="G1183" s="631"/>
      <c r="H1183" s="631"/>
      <c r="I1183" s="631"/>
      <c r="J1183" s="631"/>
      <c r="K1183" s="631"/>
      <c r="L1183" s="631"/>
      <c r="M1183" s="631"/>
      <c r="N1183" s="631"/>
      <c r="O1183" s="631"/>
      <c r="P1183" s="631"/>
      <c r="Q1183" s="631"/>
      <c r="R1183" s="631"/>
      <c r="S1183" s="632"/>
      <c r="T1183" s="487" t="s">
        <v>776</v>
      </c>
      <c r="U1183" s="664"/>
      <c r="V1183" s="665"/>
      <c r="W1183" s="665"/>
      <c r="X1183" s="665"/>
      <c r="Y1183" s="665"/>
      <c r="Z1183" s="665"/>
      <c r="AA1183" s="665"/>
      <c r="AB1183" s="665"/>
      <c r="AC1183" s="665"/>
      <c r="AD1183" s="665"/>
      <c r="AE1183" s="665"/>
      <c r="AF1183" s="665"/>
      <c r="AG1183" s="665"/>
      <c r="AH1183" s="665"/>
      <c r="AI1183" s="665"/>
      <c r="AJ1183" s="665"/>
      <c r="AK1183" s="665"/>
      <c r="AL1183" s="665"/>
      <c r="AM1183" s="666"/>
      <c r="AN1183" s="26"/>
      <c r="AO1183" s="26"/>
      <c r="AP1183" s="26"/>
      <c r="AQ1183" s="26"/>
      <c r="AR1183" s="26"/>
      <c r="AS1183" s="26"/>
      <c r="AT1183" s="26"/>
      <c r="AU1183" s="26"/>
      <c r="AV1183" s="27"/>
      <c r="AW1183" s="65"/>
      <c r="AX1183" s="65"/>
      <c r="AY1183" s="65"/>
      <c r="AZ1183" s="65"/>
      <c r="BA1183" s="65"/>
      <c r="BB1183" s="65"/>
    </row>
    <row r="1184" spans="2:54" ht="18.75" x14ac:dyDescent="0.3">
      <c r="B1184" s="32"/>
      <c r="C1184" s="625"/>
      <c r="D1184" s="26"/>
      <c r="E1184" s="630" t="str">
        <f>M1137&amp;" y "&amp;M1142</f>
        <v>........ y Crisis alimentarias (vacas locas, pepino...)</v>
      </c>
      <c r="F1184" s="631"/>
      <c r="G1184" s="631"/>
      <c r="H1184" s="631"/>
      <c r="I1184" s="631"/>
      <c r="J1184" s="631"/>
      <c r="K1184" s="631"/>
      <c r="L1184" s="631"/>
      <c r="M1184" s="631"/>
      <c r="N1184" s="631"/>
      <c r="O1184" s="631"/>
      <c r="P1184" s="631"/>
      <c r="Q1184" s="631"/>
      <c r="R1184" s="631"/>
      <c r="S1184" s="632"/>
      <c r="T1184" s="487" t="s">
        <v>776</v>
      </c>
      <c r="U1184" s="664"/>
      <c r="V1184" s="665"/>
      <c r="W1184" s="665"/>
      <c r="X1184" s="665"/>
      <c r="Y1184" s="665"/>
      <c r="Z1184" s="665"/>
      <c r="AA1184" s="665"/>
      <c r="AB1184" s="665"/>
      <c r="AC1184" s="665"/>
      <c r="AD1184" s="665"/>
      <c r="AE1184" s="665"/>
      <c r="AF1184" s="665"/>
      <c r="AG1184" s="665"/>
      <c r="AH1184" s="665"/>
      <c r="AI1184" s="665"/>
      <c r="AJ1184" s="665"/>
      <c r="AK1184" s="665"/>
      <c r="AL1184" s="665"/>
      <c r="AM1184" s="666"/>
      <c r="AN1184" s="26"/>
      <c r="AO1184" s="26"/>
      <c r="AP1184" s="26"/>
      <c r="AQ1184" s="26"/>
      <c r="AR1184" s="26"/>
      <c r="AS1184" s="26"/>
      <c r="AT1184" s="26"/>
      <c r="AU1184" s="26"/>
      <c r="AV1184" s="27"/>
      <c r="AW1184" s="65"/>
      <c r="AX1184" s="65"/>
      <c r="AY1184" s="65"/>
      <c r="AZ1184" s="65"/>
      <c r="BA1184" s="65"/>
      <c r="BB1184" s="65"/>
    </row>
    <row r="1185" spans="2:54" ht="19.5" thickBot="1" x14ac:dyDescent="0.35">
      <c r="B1185" s="32"/>
      <c r="C1185" s="626"/>
      <c r="D1185" s="26"/>
      <c r="E1185" s="701" t="str">
        <f>M1137&amp;" y "&amp;M1143</f>
        <v>........ y ..........</v>
      </c>
      <c r="F1185" s="702"/>
      <c r="G1185" s="702"/>
      <c r="H1185" s="702"/>
      <c r="I1185" s="702"/>
      <c r="J1185" s="702"/>
      <c r="K1185" s="702"/>
      <c r="L1185" s="702"/>
      <c r="M1185" s="702"/>
      <c r="N1185" s="702"/>
      <c r="O1185" s="702"/>
      <c r="P1185" s="702"/>
      <c r="Q1185" s="702"/>
      <c r="R1185" s="702"/>
      <c r="S1185" s="703"/>
      <c r="T1185" s="487" t="s">
        <v>776</v>
      </c>
      <c r="U1185" s="667"/>
      <c r="V1185" s="668"/>
      <c r="W1185" s="668"/>
      <c r="X1185" s="668"/>
      <c r="Y1185" s="668"/>
      <c r="Z1185" s="668"/>
      <c r="AA1185" s="668"/>
      <c r="AB1185" s="668"/>
      <c r="AC1185" s="668"/>
      <c r="AD1185" s="668"/>
      <c r="AE1185" s="668"/>
      <c r="AF1185" s="668"/>
      <c r="AG1185" s="668"/>
      <c r="AH1185" s="668"/>
      <c r="AI1185" s="668"/>
      <c r="AJ1185" s="668"/>
      <c r="AK1185" s="668"/>
      <c r="AL1185" s="668"/>
      <c r="AM1185" s="669"/>
      <c r="AN1185" s="26"/>
      <c r="AO1185" s="26"/>
      <c r="AP1185" s="26"/>
      <c r="AQ1185" s="26"/>
      <c r="AR1185" s="26"/>
      <c r="AS1185" s="26"/>
      <c r="AT1185" s="26"/>
      <c r="AU1185" s="26"/>
      <c r="AV1185" s="27"/>
      <c r="AW1185" s="65"/>
      <c r="AX1185" s="65"/>
      <c r="AY1185" s="65"/>
      <c r="AZ1185" s="65"/>
      <c r="BA1185" s="65"/>
      <c r="BB1185" s="65"/>
    </row>
    <row r="1186" spans="2:54" ht="15" x14ac:dyDescent="0.25">
      <c r="B1186" s="32"/>
      <c r="C1186" s="26"/>
      <c r="D1186" s="26"/>
      <c r="E1186" s="26"/>
      <c r="F1186" s="26"/>
      <c r="G1186" s="26"/>
      <c r="H1186" s="26"/>
      <c r="I1186" s="26"/>
      <c r="J1186" s="26"/>
      <c r="K1186" s="26"/>
      <c r="L1186" s="26"/>
      <c r="M1186" s="26"/>
      <c r="N1186" s="26"/>
      <c r="O1186" s="26"/>
      <c r="P1186" s="26"/>
      <c r="Q1186" s="26"/>
      <c r="R1186" s="26"/>
      <c r="S1186" s="26"/>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AR1186" s="26"/>
      <c r="AS1186" s="26"/>
      <c r="AT1186" s="26"/>
      <c r="AU1186" s="26"/>
      <c r="AV1186" s="27"/>
      <c r="AW1186" s="65"/>
      <c r="AX1186" s="65"/>
      <c r="AY1186" s="65"/>
      <c r="AZ1186" s="65"/>
      <c r="BA1186" s="65"/>
      <c r="BB1186" s="65"/>
    </row>
    <row r="1187" spans="2:54" thickBot="1" x14ac:dyDescent="0.3">
      <c r="B1187" s="171"/>
      <c r="C1187" s="30"/>
      <c r="D1187" s="30"/>
      <c r="E1187" s="30"/>
      <c r="F1187" s="30"/>
      <c r="G1187" s="30"/>
      <c r="H1187" s="30"/>
      <c r="I1187" s="30"/>
      <c r="J1187" s="30"/>
      <c r="K1187" s="30"/>
      <c r="L1187" s="30"/>
      <c r="M1187" s="30"/>
      <c r="N1187" s="30"/>
      <c r="O1187" s="30"/>
      <c r="P1187" s="30"/>
      <c r="Q1187" s="30"/>
      <c r="R1187" s="30"/>
      <c r="S1187" s="30"/>
      <c r="T1187" s="30"/>
      <c r="U1187" s="30"/>
      <c r="V1187" s="30"/>
      <c r="W1187" s="30"/>
      <c r="X1187" s="30"/>
      <c r="Y1187" s="30"/>
      <c r="Z1187" s="30"/>
      <c r="AA1187" s="30"/>
      <c r="AB1187" s="30"/>
      <c r="AC1187" s="30"/>
      <c r="AD1187" s="30"/>
      <c r="AE1187" s="30"/>
      <c r="AF1187" s="30"/>
      <c r="AG1187" s="30"/>
      <c r="AH1187" s="30"/>
      <c r="AI1187" s="30"/>
      <c r="AJ1187" s="30"/>
      <c r="AK1187" s="30"/>
      <c r="AL1187" s="30"/>
      <c r="AM1187" s="30"/>
      <c r="AN1187" s="30"/>
      <c r="AO1187" s="30"/>
      <c r="AP1187" s="30"/>
      <c r="AQ1187" s="30"/>
      <c r="AR1187" s="30"/>
      <c r="AS1187" s="30"/>
      <c r="AT1187" s="30"/>
      <c r="AU1187" s="30"/>
      <c r="AV1187" s="31"/>
      <c r="AW1187" s="65"/>
      <c r="AX1187" s="65"/>
      <c r="AY1187" s="65"/>
      <c r="AZ1187" s="65"/>
      <c r="BA1187" s="65"/>
      <c r="BB1187" s="65"/>
    </row>
    <row r="1188" spans="2:54" s="4" customFormat="1" ht="15" x14ac:dyDescent="0.25"/>
    <row r="1189" spans="2:54" s="4" customFormat="1" ht="15" x14ac:dyDescent="0.25"/>
    <row r="1190" spans="2:54" x14ac:dyDescent="0.25">
      <c r="AW1190" s="65"/>
      <c r="AX1190" s="65"/>
      <c r="AY1190" s="65"/>
      <c r="AZ1190" s="65"/>
      <c r="BA1190" s="65"/>
      <c r="BB1190" s="65"/>
    </row>
    <row r="1191" spans="2:54" x14ac:dyDescent="0.25">
      <c r="AW1191" s="65"/>
      <c r="AX1191" s="65"/>
      <c r="AY1191" s="65"/>
      <c r="AZ1191" s="65"/>
      <c r="BA1191" s="65"/>
      <c r="BB1191" s="65"/>
    </row>
    <row r="1192" spans="2:54" x14ac:dyDescent="0.25">
      <c r="AW1192" s="65"/>
      <c r="AX1192" s="65"/>
      <c r="AY1192" s="65"/>
      <c r="AZ1192" s="65"/>
      <c r="BA1192" s="65"/>
      <c r="BB1192" s="65"/>
    </row>
    <row r="1193" spans="2:54" x14ac:dyDescent="0.25">
      <c r="AW1193" s="65"/>
      <c r="AX1193" s="65"/>
      <c r="AY1193" s="65"/>
      <c r="AZ1193" s="65"/>
      <c r="BA1193" s="65"/>
      <c r="BB1193" s="65"/>
    </row>
  </sheetData>
  <sortState ref="M330:N362">
    <sortCondition descending="1" ref="N330"/>
  </sortState>
  <mergeCells count="145">
    <mergeCell ref="U1167:AM1167"/>
    <mergeCell ref="U1168:AM1168"/>
    <mergeCell ref="U1169:AM1169"/>
    <mergeCell ref="U1170:AM1170"/>
    <mergeCell ref="U1171:AM1171"/>
    <mergeCell ref="U1172:AM1172"/>
    <mergeCell ref="U1173:AM1173"/>
    <mergeCell ref="U1174:AM1174"/>
    <mergeCell ref="U1175:AM1175"/>
    <mergeCell ref="U1147:AM1147"/>
    <mergeCell ref="U1148:AM1148"/>
    <mergeCell ref="U1149:AM1149"/>
    <mergeCell ref="U1150:AM1150"/>
    <mergeCell ref="U1151:AM1151"/>
    <mergeCell ref="U1152:AM1152"/>
    <mergeCell ref="U1153:AM1153"/>
    <mergeCell ref="U1154:AM1154"/>
    <mergeCell ref="U1155:AM1155"/>
    <mergeCell ref="U1177:AM1177"/>
    <mergeCell ref="U1178:AM1178"/>
    <mergeCell ref="U1179:AM1179"/>
    <mergeCell ref="U1180:AM1180"/>
    <mergeCell ref="U1181:AM1181"/>
    <mergeCell ref="U1182:AM1182"/>
    <mergeCell ref="U1183:AM1183"/>
    <mergeCell ref="U1184:AM1184"/>
    <mergeCell ref="U1185:AM1185"/>
    <mergeCell ref="E1179:S1179"/>
    <mergeCell ref="E1180:S1180"/>
    <mergeCell ref="E1181:S1181"/>
    <mergeCell ref="E1182:S1182"/>
    <mergeCell ref="E1183:S1183"/>
    <mergeCell ref="E1184:S1184"/>
    <mergeCell ref="E1185:S1185"/>
    <mergeCell ref="U1145:Z1145"/>
    <mergeCell ref="E1145:S1145"/>
    <mergeCell ref="E1147:S1147"/>
    <mergeCell ref="E1148:S1148"/>
    <mergeCell ref="E1149:S1149"/>
    <mergeCell ref="E1150:S1150"/>
    <mergeCell ref="E1151:S1151"/>
    <mergeCell ref="E1152:S1152"/>
    <mergeCell ref="E1153:S1153"/>
    <mergeCell ref="E1154:S1154"/>
    <mergeCell ref="E1155:S1155"/>
    <mergeCell ref="E1157:S1157"/>
    <mergeCell ref="E1158:S1158"/>
    <mergeCell ref="E1159:S1159"/>
    <mergeCell ref="E1160:S1160"/>
    <mergeCell ref="E1161:S1161"/>
    <mergeCell ref="E1162:S1162"/>
    <mergeCell ref="E1164:S1164"/>
    <mergeCell ref="E1163:S1163"/>
    <mergeCell ref="E1165:S1165"/>
    <mergeCell ref="E1141:K1141"/>
    <mergeCell ref="E1142:K1142"/>
    <mergeCell ref="E1143:K1143"/>
    <mergeCell ref="M1141:S1141"/>
    <mergeCell ref="M1142:S1142"/>
    <mergeCell ref="M1143:S1143"/>
    <mergeCell ref="E1131:K1131"/>
    <mergeCell ref="E1133:K1133"/>
    <mergeCell ref="E1139:K1139"/>
    <mergeCell ref="E1135:K1135"/>
    <mergeCell ref="E1136:K1136"/>
    <mergeCell ref="E1137:K1137"/>
    <mergeCell ref="M1135:S1135"/>
    <mergeCell ref="M1136:S1136"/>
    <mergeCell ref="M1137:S1137"/>
    <mergeCell ref="M1133:S1133"/>
    <mergeCell ref="M1131:S1131"/>
    <mergeCell ref="M1139:S1139"/>
    <mergeCell ref="D1099:E1099"/>
    <mergeCell ref="G1099:H1099"/>
    <mergeCell ref="D1100:E1100"/>
    <mergeCell ref="G1100:H1100"/>
    <mergeCell ref="D1101:E1101"/>
    <mergeCell ref="G1101:H1101"/>
    <mergeCell ref="D1102:E1102"/>
    <mergeCell ref="G1102:H1102"/>
    <mergeCell ref="D1106:E1106"/>
    <mergeCell ref="G1106:H1106"/>
    <mergeCell ref="D1103:E1103"/>
    <mergeCell ref="G1103:H1103"/>
    <mergeCell ref="D1104:E1104"/>
    <mergeCell ref="G1104:H1104"/>
    <mergeCell ref="D1105:E1105"/>
    <mergeCell ref="G1105:H1105"/>
    <mergeCell ref="G1094:H1094"/>
    <mergeCell ref="D1095:E1095"/>
    <mergeCell ref="G1095:H1095"/>
    <mergeCell ref="D1096:E1096"/>
    <mergeCell ref="G1096:H1096"/>
    <mergeCell ref="D1097:E1097"/>
    <mergeCell ref="G1097:H1097"/>
    <mergeCell ref="D1098:E1098"/>
    <mergeCell ref="G1098:H1098"/>
    <mergeCell ref="E1174:S1174"/>
    <mergeCell ref="E1175:S1175"/>
    <mergeCell ref="C1135:C1137"/>
    <mergeCell ref="D66:Q70"/>
    <mergeCell ref="K288:K290"/>
    <mergeCell ref="C1141:C1143"/>
    <mergeCell ref="C1147:C1155"/>
    <mergeCell ref="C1157:C1165"/>
    <mergeCell ref="U1157:AM1157"/>
    <mergeCell ref="U1158:AM1158"/>
    <mergeCell ref="U1159:AM1159"/>
    <mergeCell ref="U1160:AM1160"/>
    <mergeCell ref="U1161:AM1161"/>
    <mergeCell ref="U1162:AM1162"/>
    <mergeCell ref="U1163:AM1163"/>
    <mergeCell ref="U1164:AM1164"/>
    <mergeCell ref="U1165:AM1165"/>
    <mergeCell ref="D1064:E1064"/>
    <mergeCell ref="D1083:I1083"/>
    <mergeCell ref="D1092:E1092"/>
    <mergeCell ref="G1092:H1092"/>
    <mergeCell ref="D1093:E1093"/>
    <mergeCell ref="G1093:H1093"/>
    <mergeCell ref="D1094:E1094"/>
    <mergeCell ref="C1177:C1185"/>
    <mergeCell ref="E1177:S1177"/>
    <mergeCell ref="E1178:S1178"/>
    <mergeCell ref="D72:Q76"/>
    <mergeCell ref="D78:Q82"/>
    <mergeCell ref="D84:Q88"/>
    <mergeCell ref="D90:Q94"/>
    <mergeCell ref="D96:Q100"/>
    <mergeCell ref="D10:Q14"/>
    <mergeCell ref="D19:Q23"/>
    <mergeCell ref="D25:Q29"/>
    <mergeCell ref="D31:Q35"/>
    <mergeCell ref="D49:Q53"/>
    <mergeCell ref="D55:Q59"/>
    <mergeCell ref="D37:Q41"/>
    <mergeCell ref="D43:Q47"/>
    <mergeCell ref="C1167:C1175"/>
    <mergeCell ref="E1167:S1167"/>
    <mergeCell ref="E1168:S1168"/>
    <mergeCell ref="E1169:S1169"/>
    <mergeCell ref="E1170:S1170"/>
    <mergeCell ref="E1171:S1171"/>
    <mergeCell ref="E1172:S1172"/>
    <mergeCell ref="E1173:S1173"/>
  </mergeCells>
  <conditionalFormatting sqref="K1083:L1083 C1092 M1076:M1083 K1076:L1076">
    <cfRule type="expression" dxfId="134" priority="427" stopIfTrue="1">
      <formula>$M1076="bajo"</formula>
    </cfRule>
    <cfRule type="expression" dxfId="133" priority="428" stopIfTrue="1">
      <formula>$M1076="medio"</formula>
    </cfRule>
    <cfRule type="expression" dxfId="132" priority="429" stopIfTrue="1">
      <formula>$M1076="alto"</formula>
    </cfRule>
  </conditionalFormatting>
  <conditionalFormatting sqref="E1107:G1107">
    <cfRule type="expression" dxfId="131" priority="424" stopIfTrue="1">
      <formula>$G1107="bajo"</formula>
    </cfRule>
    <cfRule type="expression" dxfId="130" priority="425" stopIfTrue="1">
      <formula>$G1107="medio"</formula>
    </cfRule>
    <cfRule type="expression" dxfId="129" priority="426" stopIfTrue="1">
      <formula>$G1107="alto"</formula>
    </cfRule>
  </conditionalFormatting>
  <conditionalFormatting sqref="I1107">
    <cfRule type="expression" dxfId="128" priority="397" stopIfTrue="1">
      <formula>$B1086="bajo"</formula>
    </cfRule>
    <cfRule type="expression" dxfId="127" priority="398" stopIfTrue="1">
      <formula>$B1086="medio"</formula>
    </cfRule>
    <cfRule type="expression" dxfId="126" priority="399" stopIfTrue="1">
      <formula>$B1086="alto"</formula>
    </cfRule>
  </conditionalFormatting>
  <conditionalFormatting sqref="K1093:K1106">
    <cfRule type="iconSet" priority="430">
      <iconSet iconSet="4TrafficLights">
        <cfvo type="percent" val="0"/>
        <cfvo type="percent" val="25"/>
        <cfvo type="percent" val="50"/>
        <cfvo type="percent" val="75"/>
      </iconSet>
    </cfRule>
    <cfRule type="iconSet" priority="431">
      <iconSet>
        <cfvo type="percent" val="0"/>
        <cfvo type="percent" val="33"/>
        <cfvo type="percent" val="67"/>
      </iconSet>
    </cfRule>
  </conditionalFormatting>
  <conditionalFormatting sqref="K778:K780 K556:K558">
    <cfRule type="iconSet" priority="389">
      <iconSet iconSet="3TrafficLights2">
        <cfvo type="percent" val="0"/>
        <cfvo type="percent" val="33"/>
        <cfvo type="percent" val="67"/>
      </iconSet>
    </cfRule>
    <cfRule type="cellIs" dxfId="125" priority="390" stopIfTrue="1" operator="equal">
      <formula>"▼"</formula>
    </cfRule>
    <cfRule type="cellIs" dxfId="124" priority="391" stopIfTrue="1" operator="equal">
      <formula>"═"</formula>
    </cfRule>
    <cfRule type="cellIs" dxfId="123" priority="392" stopIfTrue="1" operator="equal">
      <formula>"▲"</formula>
    </cfRule>
  </conditionalFormatting>
  <conditionalFormatting sqref="K492">
    <cfRule type="iconSet" priority="321">
      <iconSet iconSet="3TrafficLights2">
        <cfvo type="percent" val="0"/>
        <cfvo type="percent" val="33"/>
        <cfvo type="percent" val="67"/>
      </iconSet>
    </cfRule>
    <cfRule type="cellIs" dxfId="122" priority="322" stopIfTrue="1" operator="equal">
      <formula>"▼"</formula>
    </cfRule>
    <cfRule type="cellIs" dxfId="121" priority="323" stopIfTrue="1" operator="equal">
      <formula>"═"</formula>
    </cfRule>
    <cfRule type="cellIs" dxfId="120" priority="324" stopIfTrue="1" operator="equal">
      <formula>"▲"</formula>
    </cfRule>
  </conditionalFormatting>
  <conditionalFormatting sqref="D492:I492">
    <cfRule type="iconSet" priority="317">
      <iconSet iconSet="3TrafficLights2">
        <cfvo type="percent" val="0"/>
        <cfvo type="percent" val="33"/>
        <cfvo type="percent" val="67"/>
      </iconSet>
    </cfRule>
    <cfRule type="cellIs" dxfId="119" priority="318" stopIfTrue="1" operator="equal">
      <formula>"▼"</formula>
    </cfRule>
    <cfRule type="cellIs" dxfId="118" priority="319" stopIfTrue="1" operator="equal">
      <formula>"═"</formula>
    </cfRule>
    <cfRule type="cellIs" dxfId="117" priority="320" stopIfTrue="1" operator="equal">
      <formula>"▲"</formula>
    </cfRule>
  </conditionalFormatting>
  <conditionalFormatting sqref="K493">
    <cfRule type="iconSet" priority="285">
      <iconSet iconSet="3TrafficLights2">
        <cfvo type="percent" val="0"/>
        <cfvo type="percent" val="33"/>
        <cfvo type="percent" val="67"/>
      </iconSet>
    </cfRule>
    <cfRule type="cellIs" dxfId="116" priority="286" stopIfTrue="1" operator="equal">
      <formula>"▼"</formula>
    </cfRule>
    <cfRule type="cellIs" dxfId="115" priority="287" stopIfTrue="1" operator="equal">
      <formula>"═"</formula>
    </cfRule>
    <cfRule type="cellIs" dxfId="114" priority="288" stopIfTrue="1" operator="equal">
      <formula>"▲"</formula>
    </cfRule>
  </conditionalFormatting>
  <conditionalFormatting sqref="K498">
    <cfRule type="iconSet" priority="277">
      <iconSet iconSet="3TrafficLights2">
        <cfvo type="percent" val="0"/>
        <cfvo type="percent" val="33"/>
        <cfvo type="percent" val="67"/>
      </iconSet>
    </cfRule>
    <cfRule type="cellIs" dxfId="113" priority="278" stopIfTrue="1" operator="equal">
      <formula>"▼"</formula>
    </cfRule>
    <cfRule type="cellIs" dxfId="112" priority="279" stopIfTrue="1" operator="equal">
      <formula>"═"</formula>
    </cfRule>
    <cfRule type="cellIs" dxfId="111" priority="280" stopIfTrue="1" operator="equal">
      <formula>"▲"</formula>
    </cfRule>
  </conditionalFormatting>
  <conditionalFormatting sqref="K497">
    <cfRule type="iconSet" priority="221">
      <iconSet iconSet="3TrafficLights2">
        <cfvo type="percent" val="0"/>
        <cfvo type="percent" val="33"/>
        <cfvo type="percent" val="67"/>
      </iconSet>
    </cfRule>
    <cfRule type="cellIs" dxfId="110" priority="222" stopIfTrue="1" operator="equal">
      <formula>"▼"</formula>
    </cfRule>
    <cfRule type="cellIs" dxfId="109" priority="223" stopIfTrue="1" operator="equal">
      <formula>"═"</formula>
    </cfRule>
    <cfRule type="cellIs" dxfId="108" priority="224" stopIfTrue="1" operator="equal">
      <formula>"▲"</formula>
    </cfRule>
  </conditionalFormatting>
  <conditionalFormatting sqref="D497:I497">
    <cfRule type="iconSet" priority="217">
      <iconSet iconSet="3TrafficLights2">
        <cfvo type="percent" val="0"/>
        <cfvo type="percent" val="33"/>
        <cfvo type="percent" val="67"/>
      </iconSet>
    </cfRule>
    <cfRule type="cellIs" dxfId="107" priority="218" stopIfTrue="1" operator="equal">
      <formula>"▼"</formula>
    </cfRule>
    <cfRule type="cellIs" dxfId="106" priority="219" stopIfTrue="1" operator="equal">
      <formula>"═"</formula>
    </cfRule>
    <cfRule type="cellIs" dxfId="105" priority="220" stopIfTrue="1" operator="equal">
      <formula>"▲"</formula>
    </cfRule>
  </conditionalFormatting>
  <conditionalFormatting sqref="K496">
    <cfRule type="iconSet" priority="225">
      <iconSet iconSet="3TrafficLights2">
        <cfvo type="percent" val="0"/>
        <cfvo type="percent" val="33"/>
        <cfvo type="percent" val="67"/>
      </iconSet>
    </cfRule>
    <cfRule type="cellIs" dxfId="104" priority="226" stopIfTrue="1" operator="equal">
      <formula>"▼"</formula>
    </cfRule>
    <cfRule type="cellIs" dxfId="103" priority="227" stopIfTrue="1" operator="equal">
      <formula>"═"</formula>
    </cfRule>
    <cfRule type="cellIs" dxfId="102" priority="228" stopIfTrue="1" operator="equal">
      <formula>"▲"</formula>
    </cfRule>
  </conditionalFormatting>
  <conditionalFormatting sqref="K502">
    <cfRule type="iconSet" priority="209">
      <iconSet iconSet="3TrafficLights2">
        <cfvo type="percent" val="0"/>
        <cfvo type="percent" val="33"/>
        <cfvo type="percent" val="67"/>
      </iconSet>
    </cfRule>
    <cfRule type="cellIs" dxfId="101" priority="210" stopIfTrue="1" operator="equal">
      <formula>"▼"</formula>
    </cfRule>
    <cfRule type="cellIs" dxfId="100" priority="211" stopIfTrue="1" operator="equal">
      <formula>"═"</formula>
    </cfRule>
    <cfRule type="cellIs" dxfId="99" priority="212" stopIfTrue="1" operator="equal">
      <formula>"▲"</formula>
    </cfRule>
  </conditionalFormatting>
  <conditionalFormatting sqref="D502:I502">
    <cfRule type="iconSet" priority="205">
      <iconSet iconSet="3TrafficLights2">
        <cfvo type="percent" val="0"/>
        <cfvo type="percent" val="33"/>
        <cfvo type="percent" val="67"/>
      </iconSet>
    </cfRule>
    <cfRule type="cellIs" dxfId="98" priority="206" stopIfTrue="1" operator="equal">
      <formula>"▼"</formula>
    </cfRule>
    <cfRule type="cellIs" dxfId="97" priority="207" stopIfTrue="1" operator="equal">
      <formula>"═"</formula>
    </cfRule>
    <cfRule type="cellIs" dxfId="96" priority="208" stopIfTrue="1" operator="equal">
      <formula>"▲"</formula>
    </cfRule>
  </conditionalFormatting>
  <conditionalFormatting sqref="K501">
    <cfRule type="iconSet" priority="213">
      <iconSet iconSet="3TrafficLights2">
        <cfvo type="percent" val="0"/>
        <cfvo type="percent" val="33"/>
        <cfvo type="percent" val="67"/>
      </iconSet>
    </cfRule>
    <cfRule type="cellIs" dxfId="95" priority="214" stopIfTrue="1" operator="equal">
      <formula>"▼"</formula>
    </cfRule>
    <cfRule type="cellIs" dxfId="94" priority="215" stopIfTrue="1" operator="equal">
      <formula>"═"</formula>
    </cfRule>
    <cfRule type="cellIs" dxfId="93" priority="216" stopIfTrue="1" operator="equal">
      <formula>"▲"</formula>
    </cfRule>
  </conditionalFormatting>
  <conditionalFormatting sqref="K528">
    <cfRule type="iconSet" priority="197">
      <iconSet iconSet="3TrafficLights2">
        <cfvo type="percent" val="0"/>
        <cfvo type="percent" val="33"/>
        <cfvo type="percent" val="67"/>
      </iconSet>
    </cfRule>
    <cfRule type="cellIs" dxfId="92" priority="198" stopIfTrue="1" operator="equal">
      <formula>"▼"</formula>
    </cfRule>
    <cfRule type="cellIs" dxfId="91" priority="199" stopIfTrue="1" operator="equal">
      <formula>"═"</formula>
    </cfRule>
    <cfRule type="cellIs" dxfId="90" priority="200" stopIfTrue="1" operator="equal">
      <formula>"▲"</formula>
    </cfRule>
  </conditionalFormatting>
  <conditionalFormatting sqref="D528:I528">
    <cfRule type="iconSet" priority="193">
      <iconSet iconSet="3TrafficLights2">
        <cfvo type="percent" val="0"/>
        <cfvo type="percent" val="33"/>
        <cfvo type="percent" val="67"/>
      </iconSet>
    </cfRule>
    <cfRule type="cellIs" dxfId="89" priority="194" stopIfTrue="1" operator="equal">
      <formula>"▼"</formula>
    </cfRule>
    <cfRule type="cellIs" dxfId="88" priority="195" stopIfTrue="1" operator="equal">
      <formula>"═"</formula>
    </cfRule>
    <cfRule type="cellIs" dxfId="87" priority="196" stopIfTrue="1" operator="equal">
      <formula>"▲"</formula>
    </cfRule>
  </conditionalFormatting>
  <conditionalFormatting sqref="K527">
    <cfRule type="iconSet" priority="201">
      <iconSet iconSet="3TrafficLights2">
        <cfvo type="percent" val="0"/>
        <cfvo type="percent" val="33"/>
        <cfvo type="percent" val="67"/>
      </iconSet>
    </cfRule>
    <cfRule type="cellIs" dxfId="86" priority="202" stopIfTrue="1" operator="equal">
      <formula>"▼"</formula>
    </cfRule>
    <cfRule type="cellIs" dxfId="85" priority="203" stopIfTrue="1" operator="equal">
      <formula>"═"</formula>
    </cfRule>
    <cfRule type="cellIs" dxfId="84" priority="204" stopIfTrue="1" operator="equal">
      <formula>"▲"</formula>
    </cfRule>
  </conditionalFormatting>
  <conditionalFormatting sqref="D876:I876">
    <cfRule type="iconSet" priority="173">
      <iconSet iconSet="3TrafficLights2">
        <cfvo type="percent" val="0"/>
        <cfvo type="percent" val="33"/>
        <cfvo type="percent" val="67"/>
      </iconSet>
    </cfRule>
    <cfRule type="cellIs" dxfId="83" priority="174" stopIfTrue="1" operator="equal">
      <formula>"▼"</formula>
    </cfRule>
    <cfRule type="cellIs" dxfId="82" priority="175" stopIfTrue="1" operator="equal">
      <formula>"═"</formula>
    </cfRule>
    <cfRule type="cellIs" dxfId="81" priority="176" stopIfTrue="1" operator="equal">
      <formula>"▲"</formula>
    </cfRule>
  </conditionalFormatting>
  <conditionalFormatting sqref="K876">
    <cfRule type="iconSet" priority="177">
      <iconSet iconSet="3TrafficLights2">
        <cfvo type="percent" val="0"/>
        <cfvo type="percent" val="33"/>
        <cfvo type="percent" val="67"/>
      </iconSet>
    </cfRule>
    <cfRule type="cellIs" dxfId="80" priority="178" stopIfTrue="1" operator="equal">
      <formula>"▼"</formula>
    </cfRule>
    <cfRule type="cellIs" dxfId="79" priority="179" stopIfTrue="1" operator="equal">
      <formula>"═"</formula>
    </cfRule>
    <cfRule type="cellIs" dxfId="78" priority="180" stopIfTrue="1" operator="equal">
      <formula>"▲"</formula>
    </cfRule>
  </conditionalFormatting>
  <conditionalFormatting sqref="K875">
    <cfRule type="iconSet" priority="181">
      <iconSet iconSet="3TrafficLights2">
        <cfvo type="percent" val="0"/>
        <cfvo type="percent" val="33"/>
        <cfvo type="percent" val="67"/>
      </iconSet>
    </cfRule>
    <cfRule type="cellIs" dxfId="77" priority="182" stopIfTrue="1" operator="equal">
      <formula>"▼"</formula>
    </cfRule>
    <cfRule type="cellIs" dxfId="76" priority="183" stopIfTrue="1" operator="equal">
      <formula>"═"</formula>
    </cfRule>
    <cfRule type="cellIs" dxfId="75" priority="184" stopIfTrue="1" operator="equal">
      <formula>"▲"</formula>
    </cfRule>
  </conditionalFormatting>
  <conditionalFormatting sqref="D886:I886">
    <cfRule type="iconSet" priority="145">
      <iconSet iconSet="3TrafficLights2">
        <cfvo type="percent" val="0"/>
        <cfvo type="percent" val="33"/>
        <cfvo type="percent" val="67"/>
      </iconSet>
    </cfRule>
    <cfRule type="cellIs" dxfId="74" priority="146" stopIfTrue="1" operator="equal">
      <formula>"▼"</formula>
    </cfRule>
    <cfRule type="cellIs" dxfId="73" priority="147" stopIfTrue="1" operator="equal">
      <formula>"═"</formula>
    </cfRule>
    <cfRule type="cellIs" dxfId="72" priority="148" stopIfTrue="1" operator="equal">
      <formula>"▲"</formula>
    </cfRule>
  </conditionalFormatting>
  <conditionalFormatting sqref="K886">
    <cfRule type="iconSet" priority="149">
      <iconSet iconSet="3TrafficLights2">
        <cfvo type="percent" val="0"/>
        <cfvo type="percent" val="33"/>
        <cfvo type="percent" val="67"/>
      </iconSet>
    </cfRule>
    <cfRule type="cellIs" dxfId="71" priority="150" stopIfTrue="1" operator="equal">
      <formula>"▼"</formula>
    </cfRule>
    <cfRule type="cellIs" dxfId="70" priority="151" stopIfTrue="1" operator="equal">
      <formula>"═"</formula>
    </cfRule>
    <cfRule type="cellIs" dxfId="69" priority="152" stopIfTrue="1" operator="equal">
      <formula>"▲"</formula>
    </cfRule>
  </conditionalFormatting>
  <conditionalFormatting sqref="K885">
    <cfRule type="iconSet" priority="153">
      <iconSet iconSet="3TrafficLights2">
        <cfvo type="percent" val="0"/>
        <cfvo type="percent" val="33"/>
        <cfvo type="percent" val="67"/>
      </iconSet>
    </cfRule>
    <cfRule type="cellIs" dxfId="68" priority="154" stopIfTrue="1" operator="equal">
      <formula>"▼"</formula>
    </cfRule>
    <cfRule type="cellIs" dxfId="67" priority="155" stopIfTrue="1" operator="equal">
      <formula>"═"</formula>
    </cfRule>
    <cfRule type="cellIs" dxfId="66" priority="156" stopIfTrue="1" operator="equal">
      <formula>"▲"</formula>
    </cfRule>
  </conditionalFormatting>
  <conditionalFormatting sqref="K529:K539">
    <cfRule type="iconSet" priority="484">
      <iconSet iconSet="3TrafficLights2">
        <cfvo type="percent" val="0"/>
        <cfvo type="percent" val="33"/>
        <cfvo type="percent" val="67"/>
      </iconSet>
    </cfRule>
    <cfRule type="cellIs" dxfId="65" priority="485" stopIfTrue="1" operator="equal">
      <formula>"▼"</formula>
    </cfRule>
    <cfRule type="cellIs" dxfId="64" priority="486" stopIfTrue="1" operator="equal">
      <formula>"═"</formula>
    </cfRule>
    <cfRule type="cellIs" dxfId="63" priority="487" stopIfTrue="1" operator="equal">
      <formula>"▲"</formula>
    </cfRule>
  </conditionalFormatting>
  <conditionalFormatting sqref="D780:I780">
    <cfRule type="iconSet" priority="141">
      <iconSet iconSet="3TrafficLights2">
        <cfvo type="percent" val="0"/>
        <cfvo type="percent" val="33"/>
        <cfvo type="percent" val="67"/>
      </iconSet>
    </cfRule>
    <cfRule type="cellIs" dxfId="62" priority="142" stopIfTrue="1" operator="equal">
      <formula>"▼"</formula>
    </cfRule>
    <cfRule type="cellIs" dxfId="61" priority="143" stopIfTrue="1" operator="equal">
      <formula>"═"</formula>
    </cfRule>
    <cfRule type="cellIs" dxfId="60" priority="144" stopIfTrue="1" operator="equal">
      <formula>"▲"</formula>
    </cfRule>
  </conditionalFormatting>
  <conditionalFormatting sqref="K555">
    <cfRule type="iconSet" priority="137">
      <iconSet iconSet="3TrafficLights2">
        <cfvo type="percent" val="0"/>
        <cfvo type="percent" val="33"/>
        <cfvo type="percent" val="67"/>
      </iconSet>
    </cfRule>
    <cfRule type="cellIs" dxfId="59" priority="138" stopIfTrue="1" operator="equal">
      <formula>"▼"</formula>
    </cfRule>
    <cfRule type="cellIs" dxfId="58" priority="139" stopIfTrue="1" operator="equal">
      <formula>"═"</formula>
    </cfRule>
    <cfRule type="cellIs" dxfId="57" priority="140" stopIfTrue="1" operator="equal">
      <formula>"▲"</formula>
    </cfRule>
  </conditionalFormatting>
  <conditionalFormatting sqref="K552 K554">
    <cfRule type="iconSet" priority="133">
      <iconSet iconSet="3TrafficLights2">
        <cfvo type="percent" val="0"/>
        <cfvo type="percent" val="33"/>
        <cfvo type="percent" val="67"/>
      </iconSet>
    </cfRule>
    <cfRule type="cellIs" dxfId="56" priority="134" stopIfTrue="1" operator="equal">
      <formula>"▼"</formula>
    </cfRule>
    <cfRule type="cellIs" dxfId="55" priority="135" stopIfTrue="1" operator="equal">
      <formula>"═"</formula>
    </cfRule>
    <cfRule type="cellIs" dxfId="54" priority="136" stopIfTrue="1" operator="equal">
      <formula>"▲"</formula>
    </cfRule>
  </conditionalFormatting>
  <conditionalFormatting sqref="D556:I556">
    <cfRule type="iconSet" priority="129">
      <iconSet iconSet="3TrafficLights2">
        <cfvo type="percent" val="0"/>
        <cfvo type="percent" val="33"/>
        <cfvo type="percent" val="67"/>
      </iconSet>
    </cfRule>
    <cfRule type="cellIs" dxfId="53" priority="130" stopIfTrue="1" operator="equal">
      <formula>"▼"</formula>
    </cfRule>
    <cfRule type="cellIs" dxfId="52" priority="131" stopIfTrue="1" operator="equal">
      <formula>"═"</formula>
    </cfRule>
    <cfRule type="cellIs" dxfId="51" priority="132" stopIfTrue="1" operator="equal">
      <formula>"▲"</formula>
    </cfRule>
  </conditionalFormatting>
  <conditionalFormatting sqref="K688:K690">
    <cfRule type="iconSet" priority="105">
      <iconSet iconSet="3TrafficLights2">
        <cfvo type="percent" val="0"/>
        <cfvo type="percent" val="33"/>
        <cfvo type="percent" val="67"/>
      </iconSet>
    </cfRule>
    <cfRule type="cellIs" dxfId="50" priority="106" stopIfTrue="1" operator="equal">
      <formula>"▼"</formula>
    </cfRule>
    <cfRule type="cellIs" dxfId="49" priority="107" stopIfTrue="1" operator="equal">
      <formula>"═"</formula>
    </cfRule>
    <cfRule type="cellIs" dxfId="48" priority="108" stopIfTrue="1" operator="equal">
      <formula>"▲"</formula>
    </cfRule>
  </conditionalFormatting>
  <conditionalFormatting sqref="K639:K661 K616:K636 K587:K589">
    <cfRule type="iconSet" priority="488">
      <iconSet iconSet="3TrafficLights2">
        <cfvo type="percent" val="0"/>
        <cfvo type="percent" val="33"/>
        <cfvo type="percent" val="67"/>
      </iconSet>
    </cfRule>
    <cfRule type="cellIs" dxfId="47" priority="489" stopIfTrue="1" operator="equal">
      <formula>"▼"</formula>
    </cfRule>
    <cfRule type="cellIs" dxfId="46" priority="490" stopIfTrue="1" operator="equal">
      <formula>"═"</formula>
    </cfRule>
    <cfRule type="cellIs" dxfId="45" priority="491" stopIfTrue="1" operator="equal">
      <formula>"▲"</formula>
    </cfRule>
  </conditionalFormatting>
  <conditionalFormatting sqref="D589:I589">
    <cfRule type="iconSet" priority="93">
      <iconSet iconSet="3TrafficLights2">
        <cfvo type="percent" val="0"/>
        <cfvo type="percent" val="33"/>
        <cfvo type="percent" val="67"/>
      </iconSet>
    </cfRule>
    <cfRule type="cellIs" dxfId="44" priority="94" stopIfTrue="1" operator="equal">
      <formula>"▼"</formula>
    </cfRule>
    <cfRule type="cellIs" dxfId="43" priority="95" stopIfTrue="1" operator="equal">
      <formula>"═"</formula>
    </cfRule>
    <cfRule type="cellIs" dxfId="42" priority="96" stopIfTrue="1" operator="equal">
      <formula>"▲"</formula>
    </cfRule>
  </conditionalFormatting>
  <conditionalFormatting sqref="D641:I661">
    <cfRule type="iconSet" priority="89">
      <iconSet iconSet="3TrafficLights2">
        <cfvo type="percent" val="0"/>
        <cfvo type="percent" val="33"/>
        <cfvo type="percent" val="67"/>
      </iconSet>
    </cfRule>
    <cfRule type="cellIs" dxfId="41" priority="90" stopIfTrue="1" operator="equal">
      <formula>"▼"</formula>
    </cfRule>
    <cfRule type="cellIs" dxfId="40" priority="91" stopIfTrue="1" operator="equal">
      <formula>"═"</formula>
    </cfRule>
    <cfRule type="cellIs" dxfId="39" priority="92" stopIfTrue="1" operator="equal">
      <formula>"▲"</formula>
    </cfRule>
  </conditionalFormatting>
  <conditionalFormatting sqref="D690:I690">
    <cfRule type="iconSet" priority="81">
      <iconSet iconSet="3TrafficLights2">
        <cfvo type="percent" val="0"/>
        <cfvo type="percent" val="33"/>
        <cfvo type="percent" val="67"/>
      </iconSet>
    </cfRule>
    <cfRule type="cellIs" dxfId="38" priority="82" stopIfTrue="1" operator="equal">
      <formula>"▼"</formula>
    </cfRule>
    <cfRule type="cellIs" dxfId="37" priority="83" stopIfTrue="1" operator="equal">
      <formula>"═"</formula>
    </cfRule>
    <cfRule type="cellIs" dxfId="36" priority="84" stopIfTrue="1" operator="equal">
      <formula>"▲"</formula>
    </cfRule>
  </conditionalFormatting>
  <conditionalFormatting sqref="C642:C661">
    <cfRule type="iconSet" priority="77">
      <iconSet iconSet="3TrafficLights2">
        <cfvo type="percent" val="0"/>
        <cfvo type="percent" val="33"/>
        <cfvo type="percent" val="67"/>
      </iconSet>
    </cfRule>
    <cfRule type="cellIs" dxfId="35" priority="78" stopIfTrue="1" operator="equal">
      <formula>"▼"</formula>
    </cfRule>
    <cfRule type="cellIs" dxfId="34" priority="79" stopIfTrue="1" operator="equal">
      <formula>"═"</formula>
    </cfRule>
    <cfRule type="cellIs" dxfId="33" priority="80" stopIfTrue="1" operator="equal">
      <formula>"▲"</formula>
    </cfRule>
  </conditionalFormatting>
  <conditionalFormatting sqref="K664:K685">
    <cfRule type="iconSet" priority="492">
      <iconSet iconSet="3TrafficLights2">
        <cfvo type="percent" val="0"/>
        <cfvo type="percent" val="33"/>
        <cfvo type="percent" val="67"/>
      </iconSet>
    </cfRule>
    <cfRule type="cellIs" dxfId="32" priority="493" stopIfTrue="1" operator="equal">
      <formula>"▼"</formula>
    </cfRule>
    <cfRule type="cellIs" dxfId="31" priority="494" stopIfTrue="1" operator="equal">
      <formula>"═"</formula>
    </cfRule>
    <cfRule type="cellIs" dxfId="30" priority="495" stopIfTrue="1" operator="equal">
      <formula>"▲"</formula>
    </cfRule>
  </conditionalFormatting>
  <conditionalFormatting sqref="D666:I685">
    <cfRule type="iconSet" priority="496">
      <iconSet iconSet="3TrafficLights2">
        <cfvo type="percent" val="0"/>
        <cfvo type="percent" val="33"/>
        <cfvo type="percent" val="67"/>
      </iconSet>
    </cfRule>
    <cfRule type="cellIs" dxfId="29" priority="497" stopIfTrue="1" operator="equal">
      <formula>"▼"</formula>
    </cfRule>
    <cfRule type="cellIs" dxfId="28" priority="498" stopIfTrue="1" operator="equal">
      <formula>"═"</formula>
    </cfRule>
    <cfRule type="cellIs" dxfId="27" priority="499" stopIfTrue="1" operator="equal">
      <formula>"▲"</formula>
    </cfRule>
  </conditionalFormatting>
  <conditionalFormatting sqref="C667:C685">
    <cfRule type="iconSet" priority="500">
      <iconSet iconSet="3TrafficLights2">
        <cfvo type="percent" val="0"/>
        <cfvo type="percent" val="33"/>
        <cfvo type="percent" val="67"/>
      </iconSet>
    </cfRule>
    <cfRule type="cellIs" dxfId="26" priority="501" stopIfTrue="1" operator="equal">
      <formula>"▼"</formula>
    </cfRule>
    <cfRule type="cellIs" dxfId="25" priority="502" stopIfTrue="1" operator="equal">
      <formula>"═"</formula>
    </cfRule>
    <cfRule type="cellIs" dxfId="24" priority="503" stopIfTrue="1" operator="equal">
      <formula>"▲"</formula>
    </cfRule>
  </conditionalFormatting>
  <conditionalFormatting sqref="D618:I636">
    <cfRule type="iconSet" priority="504">
      <iconSet iconSet="3TrafficLights2">
        <cfvo type="percent" val="0"/>
        <cfvo type="percent" val="33"/>
        <cfvo type="percent" val="67"/>
      </iconSet>
    </cfRule>
    <cfRule type="cellIs" dxfId="23" priority="505" stopIfTrue="1" operator="equal">
      <formula>"▼"</formula>
    </cfRule>
    <cfRule type="cellIs" dxfId="22" priority="506" stopIfTrue="1" operator="equal">
      <formula>"═"</formula>
    </cfRule>
    <cfRule type="cellIs" dxfId="21" priority="507" stopIfTrue="1" operator="equal">
      <formula>"▲"</formula>
    </cfRule>
  </conditionalFormatting>
  <conditionalFormatting sqref="K866 K488 K503:K524 K491 K540">
    <cfRule type="iconSet" priority="508">
      <iconSet iconSet="3TrafficLights2">
        <cfvo type="percent" val="0"/>
        <cfvo type="percent" val="33"/>
        <cfvo type="percent" val="67"/>
      </iconSet>
    </cfRule>
    <cfRule type="cellIs" dxfId="20" priority="509" stopIfTrue="1" operator="equal">
      <formula>"▼"</formula>
    </cfRule>
    <cfRule type="cellIs" dxfId="19" priority="510" stopIfTrue="1" operator="equal">
      <formula>"═"</formula>
    </cfRule>
    <cfRule type="cellIs" dxfId="18" priority="511" stopIfTrue="1" operator="equal">
      <formula>"▲"</formula>
    </cfRule>
  </conditionalFormatting>
  <conditionalFormatting sqref="D972:I972">
    <cfRule type="iconSet" priority="41">
      <iconSet iconSet="3TrafficLights2">
        <cfvo type="percent" val="0"/>
        <cfvo type="percent" val="33"/>
        <cfvo type="percent" val="67"/>
      </iconSet>
    </cfRule>
    <cfRule type="cellIs" dxfId="17" priority="42" stopIfTrue="1" operator="equal">
      <formula>"▼"</formula>
    </cfRule>
    <cfRule type="cellIs" dxfId="16" priority="43" stopIfTrue="1" operator="equal">
      <formula>"═"</formula>
    </cfRule>
    <cfRule type="cellIs" dxfId="15" priority="44" stopIfTrue="1" operator="equal">
      <formula>"▲"</formula>
    </cfRule>
  </conditionalFormatting>
  <conditionalFormatting sqref="D977:I977">
    <cfRule type="iconSet" priority="37">
      <iconSet iconSet="3TrafficLights2">
        <cfvo type="percent" val="0"/>
        <cfvo type="percent" val="33"/>
        <cfvo type="percent" val="67"/>
      </iconSet>
    </cfRule>
    <cfRule type="cellIs" dxfId="14" priority="38" stopIfTrue="1" operator="equal">
      <formula>"▼"</formula>
    </cfRule>
    <cfRule type="cellIs" dxfId="13" priority="39" stopIfTrue="1" operator="equal">
      <formula>"═"</formula>
    </cfRule>
    <cfRule type="cellIs" dxfId="12" priority="40" stopIfTrue="1" operator="equal">
      <formula>"▲"</formula>
    </cfRule>
  </conditionalFormatting>
  <conditionalFormatting sqref="D982:I982">
    <cfRule type="iconSet" priority="33">
      <iconSet iconSet="3TrafficLights2">
        <cfvo type="percent" val="0"/>
        <cfvo type="percent" val="33"/>
        <cfvo type="percent" val="67"/>
      </iconSet>
    </cfRule>
    <cfRule type="cellIs" dxfId="11" priority="34" stopIfTrue="1" operator="equal">
      <formula>"▼"</formula>
    </cfRule>
    <cfRule type="cellIs" dxfId="10" priority="35" stopIfTrue="1" operator="equal">
      <formula>"═"</formula>
    </cfRule>
    <cfRule type="cellIs" dxfId="9" priority="36" stopIfTrue="1" operator="equal">
      <formula>"▲"</formula>
    </cfRule>
  </conditionalFormatting>
  <conditionalFormatting sqref="D987:I987">
    <cfRule type="iconSet" priority="29">
      <iconSet iconSet="3TrafficLights2">
        <cfvo type="percent" val="0"/>
        <cfvo type="percent" val="33"/>
        <cfvo type="percent" val="67"/>
      </iconSet>
    </cfRule>
    <cfRule type="cellIs" dxfId="8" priority="30" stopIfTrue="1" operator="equal">
      <formula>"▼"</formula>
    </cfRule>
    <cfRule type="cellIs" dxfId="7" priority="31" stopIfTrue="1" operator="equal">
      <formula>"═"</formula>
    </cfRule>
    <cfRule type="cellIs" dxfId="6" priority="32" stopIfTrue="1" operator="equal">
      <formula>"▲"</formula>
    </cfRule>
  </conditionalFormatting>
  <conditionalFormatting sqref="D992:I992">
    <cfRule type="iconSet" priority="25">
      <iconSet iconSet="3TrafficLights2">
        <cfvo type="percent" val="0"/>
        <cfvo type="percent" val="33"/>
        <cfvo type="percent" val="67"/>
      </iconSet>
    </cfRule>
    <cfRule type="cellIs" dxfId="5" priority="26" stopIfTrue="1" operator="equal">
      <formula>"▼"</formula>
    </cfRule>
    <cfRule type="cellIs" dxfId="4" priority="27" stopIfTrue="1" operator="equal">
      <formula>"═"</formula>
    </cfRule>
    <cfRule type="cellIs" dxfId="3" priority="28" stopIfTrue="1" operator="equal">
      <formula>"▲"</formula>
    </cfRule>
  </conditionalFormatting>
  <conditionalFormatting sqref="K546:K551">
    <cfRule type="iconSet" priority="5">
      <iconSet iconSet="3TrafficLights2">
        <cfvo type="percent" val="0"/>
        <cfvo type="percent" val="33"/>
        <cfvo type="percent" val="67"/>
      </iconSet>
    </cfRule>
    <cfRule type="cellIs" dxfId="2" priority="6" stopIfTrue="1" operator="equal">
      <formula>"▼"</formula>
    </cfRule>
    <cfRule type="cellIs" dxfId="1" priority="7" stopIfTrue="1" operator="equal">
      <formula>"═"</formula>
    </cfRule>
    <cfRule type="cellIs" dxfId="0" priority="8" stopIfTrue="1" operator="equal">
      <formula>"▲"</formula>
    </cfRule>
  </conditionalFormatting>
  <dataValidations count="9">
    <dataValidation type="list" allowBlank="1" showInputMessage="1" showErrorMessage="1" sqref="WVQ295:WVQ296 WLU295:WLU296 WBY295:WBY296 VSC295:VSC296 VIG295:VIG296 UYK295:UYK296 UOO295:UOO296 UES295:UES296 TUW295:TUW296 TLA295:TLA296 TBE295:TBE296 SRI295:SRI296 SHM295:SHM296 RXQ295:RXQ296 RNU295:RNU296 RDY295:RDY296 QUC295:QUC296 QKG295:QKG296 QAK295:QAK296 PQO295:PQO296 PGS295:PGS296 OWW295:OWW296 ONA295:ONA296 ODE295:ODE296 NTI295:NTI296 NJM295:NJM296 MZQ295:MZQ296 MPU295:MPU296 MFY295:MFY296 LWC295:LWC296 LMG295:LMG296 LCK295:LCK296 KSO295:KSO296 KIS295:KIS296 JYW295:JYW296 JPA295:JPA296 JFE295:JFE296 IVI295:IVI296 ILM295:ILM296 IBQ295:IBQ296 HRU295:HRU296 HHY295:HHY296 GYC295:GYC296 GOG295:GOG296 GEK295:GEK296 FUO295:FUO296 FKS295:FKS296 FAW295:FAW296 ERA295:ERA296 EHE295:EHE296 DXI295:DXI296 DNM295:DNM296 DDQ295:DDQ296 CTU295:CTU296 CJY295:CJY296 CAC295:CAC296 BQG295:BQG296 BGK295:BGK296 AWO295:AWO296 AMS295:AMS296 ACW295:ACW296 TA295:TA296 JE295:JE296 F1107 WVQ286 WLU286 WBY286 VSC286 VIG286 UYK286 UOO286 UES286 TUW286 TLA286 TBE286 SRI286 SHM286 RXQ286 RNU286 RDY286 QUC286 QKG286 QAK286 PQO286 PGS286 OWW286 ONA286 ODE286 NTI286 NJM286 MZQ286 MPU286 MFY286 LWC286 LMG286 LCK286 KSO286 KIS286 JYW286 JPA286 JFE286 IVI286 ILM286 IBQ286 HRU286 HHY286 GYC286 GOG286 GEK286 FUO286 FKS286 FAW286 ERA286 EHE286 DXI286 DNM286 DDQ286 CTU286 CJY286 CAC286 BQG286 BGK286 AWO286 AMS286 ACW286 TA286 JE286 WVQ301 WLU301 WBY301 VSC301 VIG301 UYK301 UOO301 UES301 TUW301 TLA301 TBE301 SRI301 SHM301 RXQ301 RNU301 RDY301 QUC301 QKG301 QAK301 PQO301 PGS301 OWW301 ONA301 ODE301 NTI301 NJM301 MZQ301 MPU301 MFY301 LWC301 LMG301 LCK301 KSO301 KIS301 JYW301 JPA301 JFE301 IVI301 ILM301 IBQ301 HRU301 HHY301 GYC301 GOG301 GEK301 FUO301 FKS301 FAW301 ERA301 EHE301 DXI301 DNM301 DDQ301 CTU301 CJY301 CAC301 BQG301 BGK301 AWO301 AMS301 ACW301 TA301 JE301">
      <formula1>#REF!</formula1>
    </dataValidation>
    <dataValidation type="list" allowBlank="1" showInputMessage="1" showErrorMessage="1" sqref="G1093:G1106">
      <formula1>$D$1084:$I$1084</formula1>
    </dataValidation>
    <dataValidation type="list" allowBlank="1" showInputMessage="1" showErrorMessage="1" sqref="WLO1085:WLO1092 WVK1085:WVK1092 IY1085:IY1092 SU1085:SU1092 ACQ1085:ACQ1092 AMM1085:AMM1092 AWI1085:AWI1092 BGE1085:BGE1092 BQA1085:BQA1092 BZW1085:BZW1092 CJS1085:CJS1092 CTO1085:CTO1092 DDK1085:DDK1092 DNG1085:DNG1092 DXC1085:DXC1092 EGY1085:EGY1092 EQU1085:EQU1092 FAQ1085:FAQ1092 FKM1085:FKM1092 FUI1085:FUI1092 GEE1085:GEE1092 GOA1085:GOA1092 GXW1085:GXW1092 HHS1085:HHS1092 HRO1085:HRO1092 IBK1085:IBK1092 ILG1085:ILG1092 IVC1085:IVC1092 JEY1085:JEY1092 JOU1085:JOU1092 JYQ1085:JYQ1092 KIM1085:KIM1092 KSI1085:KSI1092 LCE1085:LCE1092 LMA1085:LMA1092 LVW1085:LVW1092 MFS1085:MFS1092 MPO1085:MPO1092 MZK1085:MZK1092 NJG1085:NJG1092 NTC1085:NTC1092 OCY1085:OCY1092 OMU1085:OMU1092 OWQ1085:OWQ1092 PGM1085:PGM1092 PQI1085:PQI1092 QAE1085:QAE1092 QKA1085:QKA1092 QTW1085:QTW1092 RDS1085:RDS1092 RNO1085:RNO1092 RXK1085:RXK1092 SHG1085:SHG1092 SRC1085:SRC1092 TAY1085:TAY1092 TKU1085:TKU1092 TUQ1085:TUQ1092 UEM1085:UEM1092 UOI1085:UOI1092 UYE1085:UYE1092 VIA1085:VIA1092 VRW1085:VRW1092 WBS1085:WBS1092 SU1071:SU1083 ACQ1071:ACQ1083 AMM1071:AMM1083 AWI1071:AWI1083 BGE1071:BGE1083 BQA1071:BQA1083 BZW1071:BZW1083 CJS1071:CJS1083 CTO1071:CTO1083 DDK1071:DDK1083 DNG1071:DNG1083 DXC1071:DXC1083 EGY1071:EGY1083 EQU1071:EQU1083 FAQ1071:FAQ1083 FKM1071:FKM1083 FUI1071:FUI1083 GEE1071:GEE1083 GOA1071:GOA1083 GXW1071:GXW1083 HHS1071:HHS1083 HRO1071:HRO1083 IBK1071:IBK1083 ILG1071:ILG1083 IVC1071:IVC1083 JEY1071:JEY1083 JOU1071:JOU1083 JYQ1071:JYQ1083 KIM1071:KIM1083 KSI1071:KSI1083 LCE1071:LCE1083 LMA1071:LMA1083 LVW1071:LVW1083 MFS1071:MFS1083 MPO1071:MPO1083 MZK1071:MZK1083 NJG1071:NJG1083 NTC1071:NTC1083 OCY1071:OCY1083 OMU1071:OMU1083 OWQ1071:OWQ1083 PGM1071:PGM1083 PQI1071:PQI1083 QAE1071:QAE1083 QKA1071:QKA1083 QTW1071:QTW1083 RDS1071:RDS1083 RNO1071:RNO1083 RXK1071:RXK1083 SHG1071:SHG1083 SRC1071:SRC1083 TAY1071:TAY1083 TKU1071:TKU1083 TUQ1071:TUQ1083 UEM1071:UEM1083 UOI1071:UOI1083 UYE1071:UYE1083 VIA1071:VIA1083 VRW1071:VRW1083 WBS1071:WBS1083 WLO1071:WLO1083 WVK1071:WVK1083 IY1071:IY1083">
      <formula1>"1,2,3"</formula1>
    </dataValidation>
    <dataValidation type="list" allowBlank="1" showInputMessage="1" showErrorMessage="1" sqref="WBT1085:WBT1092 WLP1085:WLP1092 WVL1085:WVL1092 IZ1085:IZ1092 SV1085:SV1092 ACR1085:ACR1092 AMN1085:AMN1092 AWJ1085:AWJ1092 BGF1085:BGF1092 BQB1085:BQB1092 BZX1085:BZX1092 CJT1085:CJT1092 CTP1085:CTP1092 DDL1085:DDL1092 DNH1085:DNH1092 DXD1085:DXD1092 EGZ1085:EGZ1092 EQV1085:EQV1092 FAR1085:FAR1092 FKN1085:FKN1092 FUJ1085:FUJ1092 GEF1085:GEF1092 GOB1085:GOB1092 GXX1085:GXX1092 HHT1085:HHT1092 HRP1085:HRP1092 IBL1085:IBL1092 ILH1085:ILH1092 IVD1085:IVD1092 JEZ1085:JEZ1092 JOV1085:JOV1092 JYR1085:JYR1092 KIN1085:KIN1092 KSJ1085:KSJ1092 LCF1085:LCF1092 LMB1085:LMB1092 LVX1085:LVX1092 MFT1085:MFT1092 MPP1085:MPP1092 MZL1085:MZL1092 NJH1085:NJH1092 NTD1085:NTD1092 OCZ1085:OCZ1092 OMV1085:OMV1092 OWR1085:OWR1092 PGN1085:PGN1092 PQJ1085:PQJ1092 QAF1085:QAF1092 QKB1085:QKB1092 QTX1085:QTX1092 RDT1085:RDT1092 RNP1085:RNP1092 RXL1085:RXL1092 SHH1085:SHH1092 SRD1085:SRD1092 TAZ1085:TAZ1092 TKV1085:TKV1092 TUR1085:TUR1092 UEN1085:UEN1092 UOJ1085:UOJ1092 UYF1085:UYF1092 VIB1085:VIB1092 VRX1085:VRX1092 IZ1071:IZ1083 SV1071:SV1083 ACR1071:ACR1083 AMN1071:AMN1083 AWJ1071:AWJ1083 BGF1071:BGF1083 BQB1071:BQB1083 BZX1071:BZX1083 CJT1071:CJT1083 CTP1071:CTP1083 DDL1071:DDL1083 DNH1071:DNH1083 DXD1071:DXD1083 EGZ1071:EGZ1083 EQV1071:EQV1083 FAR1071:FAR1083 FKN1071:FKN1083 FUJ1071:FUJ1083 GEF1071:GEF1083 GOB1071:GOB1083 GXX1071:GXX1083 HHT1071:HHT1083 HRP1071:HRP1083 IBL1071:IBL1083 ILH1071:ILH1083 IVD1071:IVD1083 JEZ1071:JEZ1083 JOV1071:JOV1083 JYR1071:JYR1083 KIN1071:KIN1083 KSJ1071:KSJ1083 LCF1071:LCF1083 LMB1071:LMB1083 LVX1071:LVX1083 MFT1071:MFT1083 MPP1071:MPP1083 MZL1071:MZL1083 NJH1071:NJH1083 NTD1071:NTD1083 OCZ1071:OCZ1083 OMV1071:OMV1083 OWR1071:OWR1083 PGN1071:PGN1083 PQJ1071:PQJ1083 QAF1071:QAF1083 QKB1071:QKB1083 QTX1071:QTX1083 RDT1071:RDT1083 RNP1071:RNP1083 RXL1071:RXL1083 SHH1071:SHH1083 SRD1071:SRD1083 TAZ1071:TAZ1083 TKV1071:TKV1083 TUR1071:TUR1083 UEN1071:UEN1083 UOJ1071:UOJ1083 UYF1071:UYF1083 VIB1071:VIB1083 VRX1071:VRX1083 WBT1071:WBT1083 WLP1071:WLP1083 WVL1071:WVL1083">
      <formula1>"5,10,20"</formula1>
    </dataValidation>
    <dataValidation type="list" allowBlank="1" showInputMessage="1" showErrorMessage="1" sqref="WVP1085:WVQ1092 JD1085:JE1092 SZ1085:TA1092 ACV1085:ACW1092 AMR1085:AMS1092 AWN1085:AWO1092 BGJ1085:BGK1092 BQF1085:BQG1092 CAB1085:CAC1092 CJX1085:CJY1092 CTT1085:CTU1092 DDP1085:DDQ1092 DNL1085:DNM1092 DXH1085:DXI1092 EHD1085:EHE1092 EQZ1085:ERA1092 FAV1085:FAW1092 FKR1085:FKS1092 FUN1085:FUO1092 GEJ1085:GEK1092 GOF1085:GOG1092 GYB1085:GYC1092 HHX1085:HHY1092 HRT1085:HRU1092 IBP1085:IBQ1092 ILL1085:ILM1092 IVH1085:IVI1092 JFD1085:JFE1092 JOZ1085:JPA1092 JYV1085:JYW1092 KIR1085:KIS1092 KSN1085:KSO1092 LCJ1085:LCK1092 LMF1085:LMG1092 LWB1085:LWC1092 MFX1085:MFY1092 MPT1085:MPU1092 MZP1085:MZQ1092 NJL1085:NJM1092 NTH1085:NTI1092 ODD1085:ODE1092 OMZ1085:ONA1092 OWV1085:OWW1092 PGR1085:PGS1092 PQN1085:PQO1092 QAJ1085:QAK1092 QKF1085:QKG1092 QUB1085:QUC1092 RDX1085:RDY1092 RNT1085:RNU1092 RXP1085:RXQ1092 SHL1085:SHM1092 SRH1085:SRI1092 TBD1085:TBE1092 TKZ1085:TLA1092 TUV1085:TUW1092 UER1085:UES1092 UON1085:UOO1092 UYJ1085:UYK1092 VIF1085:VIG1092 VSB1085:VSC1092 WBX1085:WBY1092 WLT1085:WLU1092 ACV1071:ACW1083 AMR1071:AMS1083 AWN1071:AWO1083 BGJ1071:BGK1083 BQF1071:BQG1083 CAB1071:CAC1083 CJX1071:CJY1083 CTT1071:CTU1083 DDP1071:DDQ1083 DNL1071:DNM1083 DXH1071:DXI1083 EHD1071:EHE1083 EQZ1071:ERA1083 FAV1071:FAW1083 FKR1071:FKS1083 FUN1071:FUO1083 GEJ1071:GEK1083 GOF1071:GOG1083 GYB1071:GYC1083 HHX1071:HHY1083 HRT1071:HRU1083 IBP1071:IBQ1083 ILL1071:ILM1083 IVH1071:IVI1083 JFD1071:JFE1083 JOZ1071:JPA1083 JYV1071:JYW1083 KIR1071:KIS1083 KSN1071:KSO1083 LCJ1071:LCK1083 LMF1071:LMG1083 LWB1071:LWC1083 MFX1071:MFY1083 MPT1071:MPU1083 MZP1071:MZQ1083 NJL1071:NJM1083 NTH1071:NTI1083 ODD1071:ODE1083 OMZ1071:ONA1083 OWV1071:OWW1083 PGR1071:PGS1083 PQN1071:PQO1083 QAJ1071:QAK1083 QKF1071:QKG1083 QUB1071:QUC1083 RDX1071:RDY1083 RNT1071:RNU1083 RXP1071:RXQ1083 SHL1071:SHM1083 SRH1071:SRI1083 TBD1071:TBE1083 TKZ1071:TLA1083 TUV1071:TUW1083 UER1071:UES1083 UON1071:UOO1083 UYJ1071:UYK1083 VIF1071:VIG1083 VSB1071:VSC1083 WBX1071:WBY1083 WLT1071:WLU1083 WVP1071:WVQ1083 JD1071:JE1083 SZ1071:TA1083">
      <formula1>"si,no"</formula1>
    </dataValidation>
    <dataValidation type="list" allowBlank="1" showInputMessage="1" showErrorMessage="1" sqref="D1093:D1106">
      <formula1>$C$1085:$C$1090</formula1>
    </dataValidation>
    <dataValidation type="list" allowBlank="1" showInputMessage="1" showErrorMessage="1" sqref="D287:D288 D291 D1114 D1120">
      <formula1>T287:W287</formula1>
    </dataValidation>
    <dataValidation type="date" allowBlank="1" showInputMessage="1" showErrorMessage="1" error="INTRODUCIR UN FECHA FORMATO DD/MM/AA" sqref="D754">
      <formula1>1</formula1>
      <formula2>55153</formula2>
    </dataValidation>
    <dataValidation type="whole" operator="lessThan" allowBlank="1" showInputMessage="1" showErrorMessage="1" sqref="D755:D767 E235:O235 D235:D270">
      <formula1>9999</formula1>
    </dataValidation>
  </dataValidations>
  <pageMargins left="0.7" right="0.7" top="0.75" bottom="0.75" header="0.3" footer="0.3"/>
  <pageSetup paperSize="9" orientation="landscape" r:id="rId1"/>
  <cellWatches>
    <cellWatch r="C544"/>
    <cellWatch r="D544"/>
    <cellWatch r="E544"/>
    <cellWatch r="F544"/>
    <cellWatch r="G544"/>
    <cellWatch r="H544"/>
    <cellWatch r="I544"/>
    <cellWatch r="J544"/>
    <cellWatch r="K544"/>
    <cellWatch r="L544"/>
    <cellWatch r="M544"/>
    <cellWatch r="C776"/>
    <cellWatch r="D776"/>
    <cellWatch r="E776"/>
    <cellWatch r="F776"/>
    <cellWatch r="G776"/>
    <cellWatch r="H776"/>
    <cellWatch r="I776"/>
    <cellWatch r="J776"/>
    <cellWatch r="K776"/>
    <cellWatch r="L776"/>
    <cellWatch r="M776"/>
    <cellWatch r="C777"/>
    <cellWatch r="D777"/>
    <cellWatch r="E777"/>
    <cellWatch r="F777"/>
    <cellWatch r="G777"/>
    <cellWatch r="H777"/>
    <cellWatch r="I777"/>
    <cellWatch r="J777"/>
    <cellWatch r="K777"/>
    <cellWatch r="L777"/>
    <cellWatch r="M777"/>
    <cellWatch r="C778"/>
    <cellWatch r="D778"/>
    <cellWatch r="E778"/>
    <cellWatch r="F778"/>
    <cellWatch r="G778"/>
    <cellWatch r="H778"/>
    <cellWatch r="I778"/>
    <cellWatch r="J778"/>
    <cellWatch r="K778"/>
    <cellWatch r="L778"/>
    <cellWatch r="M778"/>
    <cellWatch r="C779"/>
    <cellWatch r="D779"/>
    <cellWatch r="E779"/>
    <cellWatch r="F779"/>
    <cellWatch r="G779"/>
    <cellWatch r="H779"/>
    <cellWatch r="I779"/>
    <cellWatch r="J779"/>
    <cellWatch r="K779"/>
    <cellWatch r="L779"/>
    <cellWatch r="M779"/>
    <cellWatch r="C780"/>
    <cellWatch r="D780"/>
    <cellWatch r="E780"/>
    <cellWatch r="F780"/>
    <cellWatch r="G780"/>
    <cellWatch r="H780"/>
    <cellWatch r="I780"/>
    <cellWatch r="J780"/>
    <cellWatch r="K780"/>
    <cellWatch r="L780"/>
    <cellWatch r="M780"/>
    <cellWatch r="C552"/>
    <cellWatch r="D552"/>
    <cellWatch r="E552"/>
    <cellWatch r="F552"/>
    <cellWatch r="G552"/>
    <cellWatch r="H552"/>
    <cellWatch r="I552"/>
    <cellWatch r="J552"/>
    <cellWatch r="K552"/>
    <cellWatch r="L552"/>
    <cellWatch r="M552"/>
    <cellWatch r="C555"/>
    <cellWatch r="D555"/>
    <cellWatch r="E555"/>
    <cellWatch r="F555"/>
    <cellWatch r="G555"/>
    <cellWatch r="H555"/>
    <cellWatch r="I555"/>
    <cellWatch r="J555"/>
    <cellWatch r="K555"/>
    <cellWatch r="L555"/>
    <cellWatch r="M555"/>
  </cellWatches>
  <ignoredErrors>
    <ignoredError sqref="D373:H374 E313:H313" formula="1"/>
  </ignoredErrors>
  <drawing r:id="rId2"/>
  <extLst>
    <ext xmlns:x14="http://schemas.microsoft.com/office/spreadsheetml/2009/9/main" uri="{05C60535-1F16-4fd2-B633-F4F36F0B64E0}">
      <x14:sparklineGroups xmlns:xm="http://schemas.microsoft.com/office/excel/2006/main">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Indicadores!J214:O214</xm:f>
              <xm:sqref>P214</xm:sqref>
            </x14:sparkline>
            <x14:sparkline>
              <xm:f>Indicadores!J215:O215</xm:f>
              <xm:sqref>P215</xm:sqref>
            </x14:sparkline>
            <x14:sparkline>
              <xm:f>Indicadores!J216:O216</xm:f>
              <xm:sqref>P216</xm:sqref>
            </x14:sparkline>
            <x14:sparkline>
              <xm:f>Indicadores!J217:O217</xm:f>
              <xm:sqref>P217</xm:sqref>
            </x14:sparkline>
            <x14:sparkline>
              <xm:f>Indicadores!J218:O218</xm:f>
              <xm:sqref>P218</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Indicadores!D375:I375</xm:f>
              <xm:sqref>J375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Indicadores!D374:I374</xm:f>
              <xm:sqref>J374</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Indicadores!D778:I778</xm:f>
              <xm:sqref>J778</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Indicadores!D779:I779</xm:f>
              <xm:sqref>J779</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Indicadores!D721:I721</xm:f>
              <xm:sqref>J721</xm:sqref>
            </x14:sparkline>
            <x14:sparkline>
              <xm:f>Indicadores!D722:I722</xm:f>
              <xm:sqref>J722</xm:sqref>
            </x14:sparkline>
            <x14:sparkline>
              <xm:f>Indicadores!D723:I723</xm:f>
              <xm:sqref>J723</xm:sqref>
            </x14:sparkline>
            <x14:sparkline>
              <xm:f>Indicadores!D724:I724</xm:f>
              <xm:sqref>J724</xm:sqref>
            </x14:sparkline>
            <x14:sparkline>
              <xm:f>Indicadores!D725:I725</xm:f>
              <xm:sqref>J725</xm:sqref>
            </x14:sparkline>
            <x14:sparkline>
              <xm:f>Indicadores!D726:I726</xm:f>
              <xm:sqref>J726</xm:sqref>
            </x14:sparkline>
            <x14:sparkline>
              <xm:f>Indicadores!D727:I727</xm:f>
              <xm:sqref>J727</xm:sqref>
            </x14:sparkline>
            <x14:sparkline>
              <xm:f>Indicadores!D728:I728</xm:f>
              <xm:sqref>J728</xm:sqref>
            </x14:sparkline>
            <x14:sparkline>
              <xm:f>Indicadores!D729:I729</xm:f>
              <xm:sqref>J729</xm:sqref>
            </x14:sparkline>
            <x14:sparkline>
              <xm:f>Indicadores!D730:I730</xm:f>
              <xm:sqref>J730</xm:sqref>
            </x14:sparkline>
            <x14:sparkline>
              <xm:f>Indicadores!D731:I731</xm:f>
              <xm:sqref>J731</xm:sqref>
            </x14:sparkline>
            <x14:sparkline>
              <xm:f>Indicadores!D732:I732</xm:f>
              <xm:sqref>J732</xm:sqref>
            </x14:sparkline>
            <x14:sparkline>
              <xm:f>Indicadores!D733:I733</xm:f>
              <xm:sqref>J733</xm:sqref>
            </x14:sparkline>
            <x14:sparkline>
              <xm:f>Indicadores!D734:I734</xm:f>
              <xm:sqref>J734</xm:sqref>
            </x14:sparkline>
            <x14:sparkline>
              <xm:f>Indicadores!D735:I735</xm:f>
              <xm:sqref>J735</xm:sqref>
            </x14:sparkline>
            <x14:sparkline>
              <xm:f>Indicadores!D736:I736</xm:f>
              <xm:sqref>J736</xm:sqref>
            </x14:sparkline>
            <x14:sparkline>
              <xm:f>Indicadores!D737:I737</xm:f>
              <xm:sqref>J737</xm:sqref>
            </x14:sparkline>
            <x14:sparkline>
              <xm:f>Indicadores!D738:I738</xm:f>
              <xm:sqref>J738</xm:sqref>
            </x14:sparkline>
            <x14:sparkline>
              <xm:f>Indicadores!D739:I739</xm:f>
              <xm:sqref>J739</xm:sqref>
            </x14:sparkline>
            <x14:sparkline>
              <xm:f>Indicadores!D740:I740</xm:f>
              <xm:sqref>J740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Indicadores!D993:I993</xm:f>
              <xm:sqref>J993</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Indicadores!D988:I988</xm:f>
              <xm:sqref>J988</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Indicadores!D983:I983</xm:f>
              <xm:sqref>J983</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Indicadores!D978:I978</xm:f>
              <xm:sqref>J978</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Indicadores!D973:I973</xm:f>
              <xm:sqref>J973</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Indicadores!D990:I990</xm:f>
              <xm:sqref>J990</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Indicadores!D991:I991</xm:f>
              <xm:sqref>J991</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Indicadores!D986:I986</xm:f>
              <xm:sqref>J986</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Indicadores!D985:I985</xm:f>
              <xm:sqref>J985</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Indicadores!D981:I981</xm:f>
              <xm:sqref>J981</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Indicadores!D980:I980</xm:f>
              <xm:sqref>J980</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Indicadores!D976:I976</xm:f>
              <xm:sqref>J976</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Indicadores!D975:I975</xm:f>
              <xm:sqref>J975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Indicadores!D970:I970</xm:f>
              <xm:sqref>J970</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Indicadores!D962:I962</xm:f>
              <xm:sqref>J962</xm:sqref>
            </x14:sparkline>
            <x14:sparkline>
              <xm:f>Indicadores!D963:I963</xm:f>
              <xm:sqref>J963</xm:sqref>
            </x14:sparkline>
            <x14:sparkline>
              <xm:f>Indicadores!D964:I964</xm:f>
              <xm:sqref>J964</xm:sqref>
            </x14:sparkline>
            <x14:sparkline>
              <xm:f>Indicadores!D965:I965</xm:f>
              <xm:sqref>J965</xm:sqref>
            </x14:sparkline>
            <x14:sparkline>
              <xm:f>Indicadores!D966:I966</xm:f>
              <xm:sqref>J966</xm:sqref>
            </x14:sparkline>
            <x14:sparkline>
              <xm:f>Indicadores!D967:I967</xm:f>
              <xm:sqref>J967</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Indicadores!D971:I971</xm:f>
              <xm:sqref>J971</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Indicadores!D935:I935</xm:f>
              <xm:sqref>J935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Indicadores!D954:I954</xm:f>
              <xm:sqref>J954</xm:sqref>
            </x14:sparkline>
            <x14:sparkline>
              <xm:f>Indicadores!D955:I955</xm:f>
              <xm:sqref>J955</xm:sqref>
            </x14:sparkline>
            <x14:sparkline>
              <xm:f>Indicadores!D956:I956</xm:f>
              <xm:sqref>J956</xm:sqref>
            </x14:sparkline>
            <x14:sparkline>
              <xm:f>Indicadores!D957:I957</xm:f>
              <xm:sqref>J957</xm:sqref>
            </x14:sparkline>
            <x14:sparkline>
              <xm:f>Indicadores!D958:I958</xm:f>
              <xm:sqref>J958</xm:sqref>
            </x14:sparkline>
            <x14:sparkline>
              <xm:f>Indicadores!D959:I959</xm:f>
              <xm:sqref>J959</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Indicadores!D901:I901</xm:f>
              <xm:sqref>J901</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Indicadores!D900:I900</xm:f>
              <xm:sqref>J900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Indicadores!D927:I927</xm:f>
              <xm:sqref>J927</xm:sqref>
            </x14:sparkline>
            <x14:sparkline>
              <xm:f>Indicadores!D928:I928</xm:f>
              <xm:sqref>J928</xm:sqref>
            </x14:sparkline>
            <x14:sparkline>
              <xm:f>Indicadores!D929:I929</xm:f>
              <xm:sqref>J929</xm:sqref>
            </x14:sparkline>
            <x14:sparkline>
              <xm:f>Indicadores!D934:I934</xm:f>
              <xm:sqref>J934</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Indicadores!D930:I930</xm:f>
              <xm:sqref>J930</xm:sqref>
            </x14:sparkline>
            <x14:sparkline>
              <xm:f>Indicadores!D931:I931</xm:f>
              <xm:sqref>J931</xm:sqref>
            </x14:sparkline>
            <x14:sparkline>
              <xm:f>Indicadores!D932:I932</xm:f>
              <xm:sqref>J932</xm:sqref>
            </x14:sparkline>
            <x14:sparkline>
              <xm:f>Indicadores!D933:I933</xm:f>
              <xm:sqref>J933</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Indicadores!D943:I943</xm:f>
              <xm:sqref>J943</xm:sqref>
            </x14:sparkline>
            <x14:sparkline>
              <xm:f>Indicadores!D944:I944</xm:f>
              <xm:sqref>J944</xm:sqref>
            </x14:sparkline>
            <x14:sparkline>
              <xm:f>Indicadores!D945:I945</xm:f>
              <xm:sqref>J945</xm:sqref>
            </x14:sparkline>
            <x14:sparkline>
              <xm:f>Indicadores!D946:I946</xm:f>
              <xm:sqref>J946</xm:sqref>
            </x14:sparkline>
            <x14:sparkline>
              <xm:f>Indicadores!D947:I947</xm:f>
              <xm:sqref>J947</xm:sqref>
            </x14:sparkline>
            <x14:sparkline>
              <xm:f>Indicadores!D948:I948</xm:f>
              <xm:sqref>J948</xm:sqref>
            </x14:sparkline>
            <x14:sparkline>
              <xm:f>Indicadores!D949:I949</xm:f>
              <xm:sqref>J949</xm:sqref>
            </x14:sparkline>
            <x14:sparkline>
              <xm:f>Indicadores!D950:I950</xm:f>
              <xm:sqref>J950</xm:sqref>
            </x14:sparkline>
            <x14:sparkline>
              <xm:f>Indicadores!D951:I951</xm:f>
              <xm:sqref>J951</xm:sqref>
            </x14:sparkline>
            <x14:sparkline>
              <xm:f>Indicadores!D952:I952</xm:f>
              <xm:sqref>J952</xm:sqref>
            </x14:sparkline>
            <x14:sparkline>
              <xm:f>Indicadores!D960:I960</xm:f>
              <xm:sqref>J960</xm:sqref>
            </x14:sparkline>
            <x14:sparkline>
              <xm:f>Indicadores!D968:I968</xm:f>
              <xm:sqref>J968</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Indicadores!D859:I859</xm:f>
              <xm:sqref>J859</xm:sqref>
            </x14:sparkline>
            <x14:sparkline>
              <xm:f>Indicadores!D860:I860</xm:f>
              <xm:sqref>J860</xm:sqref>
            </x14:sparkline>
            <x14:sparkline>
              <xm:f>Indicadores!D861:I861</xm:f>
              <xm:sqref>J861</xm:sqref>
            </x14:sparkline>
            <x14:sparkline>
              <xm:f>Indicadores!D862:I862</xm:f>
              <xm:sqref>J862</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Indicadores!D1004:I1004</xm:f>
              <xm:sqref>J1004</xm:sqref>
            </x14:sparkline>
            <x14:sparkline>
              <xm:f>Indicadores!D853:I853</xm:f>
              <xm:sqref>J853</xm:sqref>
            </x14:sparkline>
            <x14:sparkline>
              <xm:f>Indicadores!D854:I854</xm:f>
              <xm:sqref>J854</xm:sqref>
            </x14:sparkline>
            <x14:sparkline>
              <xm:f>Indicadores!D855:I855</xm:f>
              <xm:sqref>J855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Indicadores!D846:I846</xm:f>
              <xm:sqref>J846</xm:sqref>
            </x14:sparkline>
            <x14:sparkline>
              <xm:f>Indicadores!D856:I856</xm:f>
              <xm:sqref>J856</xm:sqref>
            </x14:sparkline>
            <x14:sparkline>
              <xm:f>Indicadores!D857:I857</xm:f>
              <xm:sqref>J857</xm:sqref>
            </x14:sparkline>
            <x14:sparkline>
              <xm:f>Indicadores!D847:I847</xm:f>
              <xm:sqref>J847</xm:sqref>
            </x14:sparkline>
            <x14:sparkline>
              <xm:f>Indicadores!D848:I848</xm:f>
              <xm:sqref>J848</xm:sqref>
            </x14:sparkline>
            <x14:sparkline>
              <xm:f>Indicadores!D849:I849</xm:f>
              <xm:sqref>J849</xm:sqref>
            </x14:sparkline>
            <x14:sparkline>
              <xm:f>Indicadores!D850:I850</xm:f>
              <xm:sqref>J850</xm:sqref>
            </x14:sparkline>
            <x14:sparkline>
              <xm:f>Indicadores!D851:I851</xm:f>
              <xm:sqref>J851</xm:sqref>
            </x14:sparkline>
            <x14:sparkline>
              <xm:f>Indicadores!D852:I852</xm:f>
              <xm:sqref>J852</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Indicadores!D617:I617</xm:f>
              <xm:sqref>J617</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Indicadores!D616:I616</xm:f>
              <xm:sqref>J616</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Indicadores!D640:I640</xm:f>
              <xm:sqref>J640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Indicadores!D526:I526</xm:f>
              <xm:sqref>J526</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Indicadores!D527:I527</xm:f>
              <xm:sqref>J527</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Indicadores!D501:I501</xm:f>
              <xm:sqref>J501</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Indicadores!D496:I496</xm:f>
              <xm:sqref>J496</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Indicadores!D491:I491</xm:f>
              <xm:sqref>J491</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Indicadores!D378:I378</xm:f>
              <xm:sqref>J378</xm:sqref>
            </x14:sparkline>
            <x14:sparkline>
              <xm:f>Indicadores!D379:I379</xm:f>
              <xm:sqref>J379</xm:sqref>
            </x14:sparkline>
            <x14:sparkline>
              <xm:f>Indicadores!D380:I380</xm:f>
              <xm:sqref>J380</xm:sqref>
            </x14:sparkline>
            <x14:sparkline>
              <xm:f>Indicadores!D381:I381</xm:f>
              <xm:sqref>J381</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Indicadores!D353:I353</xm:f>
              <xm:sqref>J353</xm:sqref>
            </x14:sparkline>
            <x14:sparkline>
              <xm:f>Indicadores!D354:I354</xm:f>
              <xm:sqref>J354</xm:sqref>
            </x14:sparkline>
            <x14:sparkline>
              <xm:f>Indicadores!D355:I355</xm:f>
              <xm:sqref>J355</xm:sqref>
            </x14:sparkline>
            <x14:sparkline>
              <xm:f>Indicadores!D356:I356</xm:f>
              <xm:sqref>J356</xm:sqref>
            </x14:sparkline>
            <x14:sparkline>
              <xm:f>Indicadores!D357:I357</xm:f>
              <xm:sqref>J357</xm:sqref>
            </x14:sparkline>
            <x14:sparkline>
              <xm:f>Indicadores!D358:I358</xm:f>
              <xm:sqref>J358</xm:sqref>
            </x14:sparkline>
            <x14:sparkline>
              <xm:f>Indicadores!D359:I359</xm:f>
              <xm:sqref>J359</xm:sqref>
            </x14:sparkline>
            <x14:sparkline>
              <xm:f>Indicadores!D360:I360</xm:f>
              <xm:sqref>J360</xm:sqref>
            </x14:sparkline>
            <x14:sparkline>
              <xm:f>Indicadores!D361:I361</xm:f>
              <xm:sqref>J361</xm:sqref>
            </x14:sparkline>
            <x14:sparkline>
              <xm:f>Indicadores!D362:I362</xm:f>
              <xm:sqref>J362</xm:sqref>
            </x14:sparkline>
            <x14:sparkline>
              <xm:f>Indicadores!D363:I363</xm:f>
              <xm:sqref>J363</xm:sqref>
            </x14:sparkline>
            <x14:sparkline>
              <xm:f>Indicadores!D364:I364</xm:f>
              <xm:sqref>J364</xm:sqref>
            </x14:sparkline>
            <x14:sparkline>
              <xm:f>Indicadores!D365:I365</xm:f>
              <xm:sqref>J365</xm:sqref>
            </x14:sparkline>
            <x14:sparkline>
              <xm:f>Indicadores!D366:I366</xm:f>
              <xm:sqref>J366</xm:sqref>
            </x14:sparkline>
            <x14:sparkline>
              <xm:f>Indicadores!D367:I367</xm:f>
              <xm:sqref>J367</xm:sqref>
            </x14:sparkline>
            <x14:sparkline>
              <xm:f>Indicadores!D368:I368</xm:f>
              <xm:sqref>J368</xm:sqref>
            </x14:sparkline>
            <x14:sparkline>
              <xm:f>Indicadores!D369:I369</xm:f>
              <xm:sqref>J369</xm:sqref>
            </x14:sparkline>
            <x14:sparkline>
              <xm:f>Indicadores!D370:I370</xm:f>
              <xm:sqref>J370</xm:sqref>
            </x14:sparkline>
            <x14:sparkline>
              <xm:f>Indicadores!D371:I371</xm:f>
              <xm:sqref>J371</xm:sqref>
            </x14:sparkline>
            <x14:sparkline>
              <xm:f>Indicadores!D372:I372</xm:f>
              <xm:sqref>J372</xm:sqref>
            </x14:sparkline>
            <x14:sparkline>
              <xm:f>Indicadores!D373:I373</xm:f>
              <xm:sqref>J373</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Indicadores!D350:I350</xm:f>
              <xm:sqref>J350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Indicadores!D323:I323</xm:f>
              <xm:sqref>J323</xm:sqref>
            </x14:sparkline>
            <x14:sparkline>
              <xm:f>Indicadores!D324:I324</xm:f>
              <xm:sqref>J324</xm:sqref>
            </x14:sparkline>
            <x14:sparkline>
              <xm:f>Indicadores!D325:I325</xm:f>
              <xm:sqref>J325</xm:sqref>
            </x14:sparkline>
            <x14:sparkline>
              <xm:f>Indicadores!D326:I326</xm:f>
              <xm:sqref>J326</xm:sqref>
            </x14:sparkline>
            <x14:sparkline>
              <xm:f>Indicadores!D327:I327</xm:f>
              <xm:sqref>J327</xm:sqref>
            </x14:sparkline>
            <x14:sparkline>
              <xm:f>Indicadores!D328:I328</xm:f>
              <xm:sqref>J328</xm:sqref>
            </x14:sparkline>
            <x14:sparkline>
              <xm:f>Indicadores!D329:I329</xm:f>
              <xm:sqref>J329</xm:sqref>
            </x14:sparkline>
            <x14:sparkline>
              <xm:f>Indicadores!D330:I330</xm:f>
              <xm:sqref>J330</xm:sqref>
            </x14:sparkline>
            <x14:sparkline>
              <xm:f>Indicadores!D331:I331</xm:f>
              <xm:sqref>J331</xm:sqref>
            </x14:sparkline>
            <x14:sparkline>
              <xm:f>Indicadores!D332:I332</xm:f>
              <xm:sqref>J332</xm:sqref>
            </x14:sparkline>
            <x14:sparkline>
              <xm:f>Indicadores!D333:I333</xm:f>
              <xm:sqref>J333</xm:sqref>
            </x14:sparkline>
            <x14:sparkline>
              <xm:f>Indicadores!D334:I334</xm:f>
              <xm:sqref>J334</xm:sqref>
            </x14:sparkline>
            <x14:sparkline>
              <xm:f>Indicadores!D335:I335</xm:f>
              <xm:sqref>J335</xm:sqref>
            </x14:sparkline>
            <x14:sparkline>
              <xm:f>Indicadores!D336:I336</xm:f>
              <xm:sqref>J336</xm:sqref>
            </x14:sparkline>
            <x14:sparkline>
              <xm:f>Indicadores!D337:I337</xm:f>
              <xm:sqref>J337</xm:sqref>
            </x14:sparkline>
            <x14:sparkline>
              <xm:f>Indicadores!D338:I338</xm:f>
              <xm:sqref>J338</xm:sqref>
            </x14:sparkline>
            <x14:sparkline>
              <xm:f>Indicadores!D339:I339</xm:f>
              <xm:sqref>J339</xm:sqref>
            </x14:sparkline>
            <x14:sparkline>
              <xm:f>Indicadores!D340:I340</xm:f>
              <xm:sqref>J340</xm:sqref>
            </x14:sparkline>
            <x14:sparkline>
              <xm:f>Indicadores!D341:I341</xm:f>
              <xm:sqref>J341</xm:sqref>
            </x14:sparkline>
            <x14:sparkline>
              <xm:f>Indicadores!D342:I342</xm:f>
              <xm:sqref>J342</xm:sqref>
            </x14:sparkline>
            <x14:sparkline>
              <xm:f>Indicadores!D343:I343</xm:f>
              <xm:sqref>J343</xm:sqref>
            </x14:sparkline>
            <x14:sparkline>
              <xm:f>Indicadores!D344:I344</xm:f>
              <xm:sqref>J344</xm:sqref>
            </x14:sparkline>
            <x14:sparkline>
              <xm:f>Indicadores!D345:I345</xm:f>
              <xm:sqref>J345</xm:sqref>
            </x14:sparkline>
            <x14:sparkline>
              <xm:f>Indicadores!D346:I346</xm:f>
              <xm:sqref>J346</xm:sqref>
            </x14:sparkline>
            <x14:sparkline>
              <xm:f>Indicadores!D347:I347</xm:f>
              <xm:sqref>J347</xm:sqref>
            </x14:sparkline>
            <x14:sparkline>
              <xm:f>Indicadores!D348:I348</xm:f>
              <xm:sqref>J348</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Indicadores!D306:I306</xm:f>
              <xm:sqref>J306</xm:sqref>
            </x14:sparkline>
            <x14:sparkline>
              <xm:f>Indicadores!D307:I307</xm:f>
              <xm:sqref>J307</xm:sqref>
            </x14:sparkline>
            <x14:sparkline>
              <xm:f>Indicadores!D308:I308</xm:f>
              <xm:sqref>J308</xm:sqref>
            </x14:sparkline>
            <x14:sparkline>
              <xm:f>Indicadores!D309:I309</xm:f>
              <xm:sqref>J309</xm:sqref>
            </x14:sparkline>
            <x14:sparkline>
              <xm:f>Indicadores!D310:I310</xm:f>
              <xm:sqref>J310</xm:sqref>
            </x14:sparkline>
            <x14:sparkline>
              <xm:f>Indicadores!D311:I311</xm:f>
              <xm:sqref>J311</xm:sqref>
            </x14:sparkline>
            <x14:sparkline>
              <xm:f>Indicadores!D312:I312</xm:f>
              <xm:sqref>J312</xm:sqref>
            </x14:sparkline>
            <x14:sparkline>
              <xm:f>Indicadores!D313:I313</xm:f>
              <xm:sqref>J313</xm:sqref>
            </x14:sparkline>
            <x14:sparkline>
              <xm:f>Indicadores!D314:I314</xm:f>
              <xm:sqref>J314</xm:sqref>
            </x14:sparkline>
            <x14:sparkline>
              <xm:f>Indicadores!D315:I315</xm:f>
              <xm:sqref>J315</xm:sqref>
            </x14:sparkline>
            <x14:sparkline>
              <xm:f>Indicadores!D316:I316</xm:f>
              <xm:sqref>J316</xm:sqref>
            </x14:sparkline>
            <x14:sparkline>
              <xm:f>Indicadores!D317:I317</xm:f>
              <xm:sqref>J317</xm:sqref>
            </x14:sparkline>
            <x14:sparkline>
              <xm:f>Indicadores!D318:I318</xm:f>
              <xm:sqref>J318</xm:sqref>
            </x14:sparkline>
            <x14:sparkline>
              <xm:f>Indicadores!D319:I319</xm:f>
              <xm:sqref>J319</xm:sqref>
            </x14:sparkline>
            <x14:sparkline>
              <xm:f>Indicadores!D320:I320</xm:f>
              <xm:sqref>J320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Indicadores!D500:I500</xm:f>
              <xm:sqref>J500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Indicadores!D495:I495</xm:f>
              <xm:sqref>J495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Indicadores!D490:I490</xm:f>
              <xm:sqref>J490</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Indicadores!D874:I874</xm:f>
              <xm:sqref>J874</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Indicadores!D639:I639</xm:f>
              <xm:sqref>J639</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Indicadores!D665:I665</xm:f>
              <xm:sqref>J665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Indicadores!D664:I664</xm:f>
              <xm:sqref>J664</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Indicadores!D688:I688</xm:f>
              <xm:sqref>J688</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Indicadores!D689:I689</xm:f>
              <xm:sqref>J689</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Indicadores!D587:I587</xm:f>
              <xm:sqref>J587</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Indicadores!D588:I588</xm:f>
              <xm:sqref>J588</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Indicadores!D875:I875</xm:f>
              <xm:sqref>J875</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Indicadores!D885:I885</xm:f>
              <xm:sqref>J885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Indicadores!D884:I884</xm:f>
              <xm:sqref>J884</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Indicadores!D554:I554</xm:f>
              <xm:sqref>J554</xm:sqref>
            </x14:sparkline>
          </x14:sparklines>
        </x14:sparklineGroup>
        <x14:sparklineGroup manualMax="0" manualMin="0" displayEmptyCellsAs="gap" negative="1">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Indicadores!D555:I555</xm:f>
              <xm:sqref>J555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Indicadores!J236:O236</xm:f>
              <xm:sqref>P236</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Indicadores!J235:O235</xm:f>
              <xm:sqref>P235</xm:sqref>
            </x14:sparkline>
          </x14:sparklines>
        </x14:sparklineGroup>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Indicadores!J219:O219</xm:f>
              <xm:sqref>P219</xm:sqref>
            </x14:sparkline>
            <x14:sparkline>
              <xm:f>Indicadores!J220:O220</xm:f>
              <xm:sqref>P220</xm:sqref>
            </x14:sparkline>
            <x14:sparkline>
              <xm:f>Indicadores!J221:O221</xm:f>
              <xm:sqref>P221</xm:sqref>
            </x14:sparkline>
            <x14:sparkline>
              <xm:f>Indicadores!J222:O222</xm:f>
              <xm:sqref>P222</xm:sqref>
            </x14:sparkline>
            <x14:sparkline>
              <xm:f>Indicadores!J223:O223</xm:f>
              <xm:sqref>P223</xm:sqref>
            </x14:sparkline>
            <x14:sparkline>
              <xm:f>Indicadores!J224:O224</xm:f>
              <xm:sqref>P224</xm:sqref>
            </x14:sparkline>
            <x14:sparkline>
              <xm:f>Indicadores!J225:O225</xm:f>
              <xm:sqref>P225</xm:sqref>
            </x14:sparkline>
            <x14:sparkline>
              <xm:f>Indicadores!J226:O226</xm:f>
              <xm:sqref>P226</xm:sqref>
            </x14:sparkline>
            <x14:sparkline>
              <xm:f>Indicadores!J227:O227</xm:f>
              <xm:sqref>P227</xm:sqref>
            </x14:sparkline>
            <x14:sparkline>
              <xm:f>Indicadores!J228:O228</xm:f>
              <xm:sqref>P228</xm:sqref>
            </x14:sparkline>
            <x14:sparkline>
              <xm:f>Indicadores!J229:O229</xm:f>
              <xm:sqref>P229</xm:sqref>
            </x14:sparkline>
            <x14:sparkline>
              <xm:f>Indicadores!J230:O230</xm:f>
              <xm:sqref>P230</xm:sqref>
            </x14:sparkline>
            <x14:sparkline>
              <xm:f>Indicadores!J231:O231</xm:f>
              <xm:sqref>P231</xm:sqref>
            </x14:sparkline>
            <x14:sparkline>
              <xm:f>Indicadores!J232:O232</xm:f>
              <xm:sqref>P232</xm:sqref>
            </x14:sparkline>
            <x14:sparkline>
              <xm:f>Indicadores!J233:O233</xm:f>
              <xm:sqref>P233</xm:sqref>
            </x14:sparkline>
            <x14:sparkline>
              <xm:f>Indicadores!J234:O234</xm:f>
              <xm:sqref>P234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205"/>
  <sheetViews>
    <sheetView zoomScale="85" zoomScaleNormal="85" workbookViewId="0">
      <selection activeCell="G4" sqref="G4"/>
    </sheetView>
  </sheetViews>
  <sheetFormatPr baseColWidth="10" defaultRowHeight="14.25" x14ac:dyDescent="0.2"/>
  <cols>
    <col min="1" max="1" width="81.28515625" style="462" bestFit="1" customWidth="1"/>
    <col min="2" max="10" width="14.28515625" style="462" customWidth="1"/>
    <col min="11" max="245" width="11.42578125" style="462"/>
    <col min="246" max="246" width="37.28515625" style="462" customWidth="1"/>
    <col min="247" max="247" width="5.5703125" style="462" customWidth="1"/>
    <col min="248" max="248" width="7.85546875" style="462" customWidth="1"/>
    <col min="249" max="249" width="6.42578125" style="462" customWidth="1"/>
    <col min="250" max="266" width="14.28515625" style="462" customWidth="1"/>
    <col min="267" max="501" width="11.42578125" style="462"/>
    <col min="502" max="502" width="37.28515625" style="462" customWidth="1"/>
    <col min="503" max="503" width="5.5703125" style="462" customWidth="1"/>
    <col min="504" max="504" width="7.85546875" style="462" customWidth="1"/>
    <col min="505" max="505" width="6.42578125" style="462" customWidth="1"/>
    <col min="506" max="522" width="14.28515625" style="462" customWidth="1"/>
    <col min="523" max="757" width="11.42578125" style="462"/>
    <col min="758" max="758" width="37.28515625" style="462" customWidth="1"/>
    <col min="759" max="759" width="5.5703125" style="462" customWidth="1"/>
    <col min="760" max="760" width="7.85546875" style="462" customWidth="1"/>
    <col min="761" max="761" width="6.42578125" style="462" customWidth="1"/>
    <col min="762" max="778" width="14.28515625" style="462" customWidth="1"/>
    <col min="779" max="1013" width="11.42578125" style="462"/>
    <col min="1014" max="1014" width="37.28515625" style="462" customWidth="1"/>
    <col min="1015" max="1015" width="5.5703125" style="462" customWidth="1"/>
    <col min="1016" max="1016" width="7.85546875" style="462" customWidth="1"/>
    <col min="1017" max="1017" width="6.42578125" style="462" customWidth="1"/>
    <col min="1018" max="1034" width="14.28515625" style="462" customWidth="1"/>
    <col min="1035" max="1269" width="11.42578125" style="462"/>
    <col min="1270" max="1270" width="37.28515625" style="462" customWidth="1"/>
    <col min="1271" max="1271" width="5.5703125" style="462" customWidth="1"/>
    <col min="1272" max="1272" width="7.85546875" style="462" customWidth="1"/>
    <col min="1273" max="1273" width="6.42578125" style="462" customWidth="1"/>
    <col min="1274" max="1290" width="14.28515625" style="462" customWidth="1"/>
    <col min="1291" max="1525" width="11.42578125" style="462"/>
    <col min="1526" max="1526" width="37.28515625" style="462" customWidth="1"/>
    <col min="1527" max="1527" width="5.5703125" style="462" customWidth="1"/>
    <col min="1528" max="1528" width="7.85546875" style="462" customWidth="1"/>
    <col min="1529" max="1529" width="6.42578125" style="462" customWidth="1"/>
    <col min="1530" max="1546" width="14.28515625" style="462" customWidth="1"/>
    <col min="1547" max="1781" width="11.42578125" style="462"/>
    <col min="1782" max="1782" width="37.28515625" style="462" customWidth="1"/>
    <col min="1783" max="1783" width="5.5703125" style="462" customWidth="1"/>
    <col min="1784" max="1784" width="7.85546875" style="462" customWidth="1"/>
    <col min="1785" max="1785" width="6.42578125" style="462" customWidth="1"/>
    <col min="1786" max="1802" width="14.28515625" style="462" customWidth="1"/>
    <col min="1803" max="2037" width="11.42578125" style="462"/>
    <col min="2038" max="2038" width="37.28515625" style="462" customWidth="1"/>
    <col min="2039" max="2039" width="5.5703125" style="462" customWidth="1"/>
    <col min="2040" max="2040" width="7.85546875" style="462" customWidth="1"/>
    <col min="2041" max="2041" width="6.42578125" style="462" customWidth="1"/>
    <col min="2042" max="2058" width="14.28515625" style="462" customWidth="1"/>
    <col min="2059" max="2293" width="11.42578125" style="462"/>
    <col min="2294" max="2294" width="37.28515625" style="462" customWidth="1"/>
    <col min="2295" max="2295" width="5.5703125" style="462" customWidth="1"/>
    <col min="2296" max="2296" width="7.85546875" style="462" customWidth="1"/>
    <col min="2297" max="2297" width="6.42578125" style="462" customWidth="1"/>
    <col min="2298" max="2314" width="14.28515625" style="462" customWidth="1"/>
    <col min="2315" max="2549" width="11.42578125" style="462"/>
    <col min="2550" max="2550" width="37.28515625" style="462" customWidth="1"/>
    <col min="2551" max="2551" width="5.5703125" style="462" customWidth="1"/>
    <col min="2552" max="2552" width="7.85546875" style="462" customWidth="1"/>
    <col min="2553" max="2553" width="6.42578125" style="462" customWidth="1"/>
    <col min="2554" max="2570" width="14.28515625" style="462" customWidth="1"/>
    <col min="2571" max="2805" width="11.42578125" style="462"/>
    <col min="2806" max="2806" width="37.28515625" style="462" customWidth="1"/>
    <col min="2807" max="2807" width="5.5703125" style="462" customWidth="1"/>
    <col min="2808" max="2808" width="7.85546875" style="462" customWidth="1"/>
    <col min="2809" max="2809" width="6.42578125" style="462" customWidth="1"/>
    <col min="2810" max="2826" width="14.28515625" style="462" customWidth="1"/>
    <col min="2827" max="3061" width="11.42578125" style="462"/>
    <col min="3062" max="3062" width="37.28515625" style="462" customWidth="1"/>
    <col min="3063" max="3063" width="5.5703125" style="462" customWidth="1"/>
    <col min="3064" max="3064" width="7.85546875" style="462" customWidth="1"/>
    <col min="3065" max="3065" width="6.42578125" style="462" customWidth="1"/>
    <col min="3066" max="3082" width="14.28515625" style="462" customWidth="1"/>
    <col min="3083" max="3317" width="11.42578125" style="462"/>
    <col min="3318" max="3318" width="37.28515625" style="462" customWidth="1"/>
    <col min="3319" max="3319" width="5.5703125" style="462" customWidth="1"/>
    <col min="3320" max="3320" width="7.85546875" style="462" customWidth="1"/>
    <col min="3321" max="3321" width="6.42578125" style="462" customWidth="1"/>
    <col min="3322" max="3338" width="14.28515625" style="462" customWidth="1"/>
    <col min="3339" max="3573" width="11.42578125" style="462"/>
    <col min="3574" max="3574" width="37.28515625" style="462" customWidth="1"/>
    <col min="3575" max="3575" width="5.5703125" style="462" customWidth="1"/>
    <col min="3576" max="3576" width="7.85546875" style="462" customWidth="1"/>
    <col min="3577" max="3577" width="6.42578125" style="462" customWidth="1"/>
    <col min="3578" max="3594" width="14.28515625" style="462" customWidth="1"/>
    <col min="3595" max="3829" width="11.42578125" style="462"/>
    <col min="3830" max="3830" width="37.28515625" style="462" customWidth="1"/>
    <col min="3831" max="3831" width="5.5703125" style="462" customWidth="1"/>
    <col min="3832" max="3832" width="7.85546875" style="462" customWidth="1"/>
    <col min="3833" max="3833" width="6.42578125" style="462" customWidth="1"/>
    <col min="3834" max="3850" width="14.28515625" style="462" customWidth="1"/>
    <col min="3851" max="4085" width="11.42578125" style="462"/>
    <col min="4086" max="4086" width="37.28515625" style="462" customWidth="1"/>
    <col min="4087" max="4087" width="5.5703125" style="462" customWidth="1"/>
    <col min="4088" max="4088" width="7.85546875" style="462" customWidth="1"/>
    <col min="4089" max="4089" width="6.42578125" style="462" customWidth="1"/>
    <col min="4090" max="4106" width="14.28515625" style="462" customWidth="1"/>
    <col min="4107" max="4341" width="11.42578125" style="462"/>
    <col min="4342" max="4342" width="37.28515625" style="462" customWidth="1"/>
    <col min="4343" max="4343" width="5.5703125" style="462" customWidth="1"/>
    <col min="4344" max="4344" width="7.85546875" style="462" customWidth="1"/>
    <col min="4345" max="4345" width="6.42578125" style="462" customWidth="1"/>
    <col min="4346" max="4362" width="14.28515625" style="462" customWidth="1"/>
    <col min="4363" max="4597" width="11.42578125" style="462"/>
    <col min="4598" max="4598" width="37.28515625" style="462" customWidth="1"/>
    <col min="4599" max="4599" width="5.5703125" style="462" customWidth="1"/>
    <col min="4600" max="4600" width="7.85546875" style="462" customWidth="1"/>
    <col min="4601" max="4601" width="6.42578125" style="462" customWidth="1"/>
    <col min="4602" max="4618" width="14.28515625" style="462" customWidth="1"/>
    <col min="4619" max="4853" width="11.42578125" style="462"/>
    <col min="4854" max="4854" width="37.28515625" style="462" customWidth="1"/>
    <col min="4855" max="4855" width="5.5703125" style="462" customWidth="1"/>
    <col min="4856" max="4856" width="7.85546875" style="462" customWidth="1"/>
    <col min="4857" max="4857" width="6.42578125" style="462" customWidth="1"/>
    <col min="4858" max="4874" width="14.28515625" style="462" customWidth="1"/>
    <col min="4875" max="5109" width="11.42578125" style="462"/>
    <col min="5110" max="5110" width="37.28515625" style="462" customWidth="1"/>
    <col min="5111" max="5111" width="5.5703125" style="462" customWidth="1"/>
    <col min="5112" max="5112" width="7.85546875" style="462" customWidth="1"/>
    <col min="5113" max="5113" width="6.42578125" style="462" customWidth="1"/>
    <col min="5114" max="5130" width="14.28515625" style="462" customWidth="1"/>
    <col min="5131" max="5365" width="11.42578125" style="462"/>
    <col min="5366" max="5366" width="37.28515625" style="462" customWidth="1"/>
    <col min="5367" max="5367" width="5.5703125" style="462" customWidth="1"/>
    <col min="5368" max="5368" width="7.85546875" style="462" customWidth="1"/>
    <col min="5369" max="5369" width="6.42578125" style="462" customWidth="1"/>
    <col min="5370" max="5386" width="14.28515625" style="462" customWidth="1"/>
    <col min="5387" max="5621" width="11.42578125" style="462"/>
    <col min="5622" max="5622" width="37.28515625" style="462" customWidth="1"/>
    <col min="5623" max="5623" width="5.5703125" style="462" customWidth="1"/>
    <col min="5624" max="5624" width="7.85546875" style="462" customWidth="1"/>
    <col min="5625" max="5625" width="6.42578125" style="462" customWidth="1"/>
    <col min="5626" max="5642" width="14.28515625" style="462" customWidth="1"/>
    <col min="5643" max="5877" width="11.42578125" style="462"/>
    <col min="5878" max="5878" width="37.28515625" style="462" customWidth="1"/>
    <col min="5879" max="5879" width="5.5703125" style="462" customWidth="1"/>
    <col min="5880" max="5880" width="7.85546875" style="462" customWidth="1"/>
    <col min="5881" max="5881" width="6.42578125" style="462" customWidth="1"/>
    <col min="5882" max="5898" width="14.28515625" style="462" customWidth="1"/>
    <col min="5899" max="6133" width="11.42578125" style="462"/>
    <col min="6134" max="6134" width="37.28515625" style="462" customWidth="1"/>
    <col min="6135" max="6135" width="5.5703125" style="462" customWidth="1"/>
    <col min="6136" max="6136" width="7.85546875" style="462" customWidth="1"/>
    <col min="6137" max="6137" width="6.42578125" style="462" customWidth="1"/>
    <col min="6138" max="6154" width="14.28515625" style="462" customWidth="1"/>
    <col min="6155" max="6389" width="11.42578125" style="462"/>
    <col min="6390" max="6390" width="37.28515625" style="462" customWidth="1"/>
    <col min="6391" max="6391" width="5.5703125" style="462" customWidth="1"/>
    <col min="6392" max="6392" width="7.85546875" style="462" customWidth="1"/>
    <col min="6393" max="6393" width="6.42578125" style="462" customWidth="1"/>
    <col min="6394" max="6410" width="14.28515625" style="462" customWidth="1"/>
    <col min="6411" max="6645" width="11.42578125" style="462"/>
    <col min="6646" max="6646" width="37.28515625" style="462" customWidth="1"/>
    <col min="6647" max="6647" width="5.5703125" style="462" customWidth="1"/>
    <col min="6648" max="6648" width="7.85546875" style="462" customWidth="1"/>
    <col min="6649" max="6649" width="6.42578125" style="462" customWidth="1"/>
    <col min="6650" max="6666" width="14.28515625" style="462" customWidth="1"/>
    <col min="6667" max="6901" width="11.42578125" style="462"/>
    <col min="6902" max="6902" width="37.28515625" style="462" customWidth="1"/>
    <col min="6903" max="6903" width="5.5703125" style="462" customWidth="1"/>
    <col min="6904" max="6904" width="7.85546875" style="462" customWidth="1"/>
    <col min="6905" max="6905" width="6.42578125" style="462" customWidth="1"/>
    <col min="6906" max="6922" width="14.28515625" style="462" customWidth="1"/>
    <col min="6923" max="7157" width="11.42578125" style="462"/>
    <col min="7158" max="7158" width="37.28515625" style="462" customWidth="1"/>
    <col min="7159" max="7159" width="5.5703125" style="462" customWidth="1"/>
    <col min="7160" max="7160" width="7.85546875" style="462" customWidth="1"/>
    <col min="7161" max="7161" width="6.42578125" style="462" customWidth="1"/>
    <col min="7162" max="7178" width="14.28515625" style="462" customWidth="1"/>
    <col min="7179" max="7413" width="11.42578125" style="462"/>
    <col min="7414" max="7414" width="37.28515625" style="462" customWidth="1"/>
    <col min="7415" max="7415" width="5.5703125" style="462" customWidth="1"/>
    <col min="7416" max="7416" width="7.85546875" style="462" customWidth="1"/>
    <col min="7417" max="7417" width="6.42578125" style="462" customWidth="1"/>
    <col min="7418" max="7434" width="14.28515625" style="462" customWidth="1"/>
    <col min="7435" max="7669" width="11.42578125" style="462"/>
    <col min="7670" max="7670" width="37.28515625" style="462" customWidth="1"/>
    <col min="7671" max="7671" width="5.5703125" style="462" customWidth="1"/>
    <col min="7672" max="7672" width="7.85546875" style="462" customWidth="1"/>
    <col min="7673" max="7673" width="6.42578125" style="462" customWidth="1"/>
    <col min="7674" max="7690" width="14.28515625" style="462" customWidth="1"/>
    <col min="7691" max="7925" width="11.42578125" style="462"/>
    <col min="7926" max="7926" width="37.28515625" style="462" customWidth="1"/>
    <col min="7927" max="7927" width="5.5703125" style="462" customWidth="1"/>
    <col min="7928" max="7928" width="7.85546875" style="462" customWidth="1"/>
    <col min="7929" max="7929" width="6.42578125" style="462" customWidth="1"/>
    <col min="7930" max="7946" width="14.28515625" style="462" customWidth="1"/>
    <col min="7947" max="8181" width="11.42578125" style="462"/>
    <col min="8182" max="8182" width="37.28515625" style="462" customWidth="1"/>
    <col min="8183" max="8183" width="5.5703125" style="462" customWidth="1"/>
    <col min="8184" max="8184" width="7.85546875" style="462" customWidth="1"/>
    <col min="8185" max="8185" width="6.42578125" style="462" customWidth="1"/>
    <col min="8186" max="8202" width="14.28515625" style="462" customWidth="1"/>
    <col min="8203" max="8437" width="11.42578125" style="462"/>
    <col min="8438" max="8438" width="37.28515625" style="462" customWidth="1"/>
    <col min="8439" max="8439" width="5.5703125" style="462" customWidth="1"/>
    <col min="8440" max="8440" width="7.85546875" style="462" customWidth="1"/>
    <col min="8441" max="8441" width="6.42578125" style="462" customWidth="1"/>
    <col min="8442" max="8458" width="14.28515625" style="462" customWidth="1"/>
    <col min="8459" max="8693" width="11.42578125" style="462"/>
    <col min="8694" max="8694" width="37.28515625" style="462" customWidth="1"/>
    <col min="8695" max="8695" width="5.5703125" style="462" customWidth="1"/>
    <col min="8696" max="8696" width="7.85546875" style="462" customWidth="1"/>
    <col min="8697" max="8697" width="6.42578125" style="462" customWidth="1"/>
    <col min="8698" max="8714" width="14.28515625" style="462" customWidth="1"/>
    <col min="8715" max="8949" width="11.42578125" style="462"/>
    <col min="8950" max="8950" width="37.28515625" style="462" customWidth="1"/>
    <col min="8951" max="8951" width="5.5703125" style="462" customWidth="1"/>
    <col min="8952" max="8952" width="7.85546875" style="462" customWidth="1"/>
    <col min="8953" max="8953" width="6.42578125" style="462" customWidth="1"/>
    <col min="8954" max="8970" width="14.28515625" style="462" customWidth="1"/>
    <col min="8971" max="9205" width="11.42578125" style="462"/>
    <col min="9206" max="9206" width="37.28515625" style="462" customWidth="1"/>
    <col min="9207" max="9207" width="5.5703125" style="462" customWidth="1"/>
    <col min="9208" max="9208" width="7.85546875" style="462" customWidth="1"/>
    <col min="9209" max="9209" width="6.42578125" style="462" customWidth="1"/>
    <col min="9210" max="9226" width="14.28515625" style="462" customWidth="1"/>
    <col min="9227" max="9461" width="11.42578125" style="462"/>
    <col min="9462" max="9462" width="37.28515625" style="462" customWidth="1"/>
    <col min="9463" max="9463" width="5.5703125" style="462" customWidth="1"/>
    <col min="9464" max="9464" width="7.85546875" style="462" customWidth="1"/>
    <col min="9465" max="9465" width="6.42578125" style="462" customWidth="1"/>
    <col min="9466" max="9482" width="14.28515625" style="462" customWidth="1"/>
    <col min="9483" max="9717" width="11.42578125" style="462"/>
    <col min="9718" max="9718" width="37.28515625" style="462" customWidth="1"/>
    <col min="9719" max="9719" width="5.5703125" style="462" customWidth="1"/>
    <col min="9720" max="9720" width="7.85546875" style="462" customWidth="1"/>
    <col min="9721" max="9721" width="6.42578125" style="462" customWidth="1"/>
    <col min="9722" max="9738" width="14.28515625" style="462" customWidth="1"/>
    <col min="9739" max="9973" width="11.42578125" style="462"/>
    <col min="9974" max="9974" width="37.28515625" style="462" customWidth="1"/>
    <col min="9975" max="9975" width="5.5703125" style="462" customWidth="1"/>
    <col min="9976" max="9976" width="7.85546875" style="462" customWidth="1"/>
    <col min="9977" max="9977" width="6.42578125" style="462" customWidth="1"/>
    <col min="9978" max="9994" width="14.28515625" style="462" customWidth="1"/>
    <col min="9995" max="10229" width="11.42578125" style="462"/>
    <col min="10230" max="10230" width="37.28515625" style="462" customWidth="1"/>
    <col min="10231" max="10231" width="5.5703125" style="462" customWidth="1"/>
    <col min="10232" max="10232" width="7.85546875" style="462" customWidth="1"/>
    <col min="10233" max="10233" width="6.42578125" style="462" customWidth="1"/>
    <col min="10234" max="10250" width="14.28515625" style="462" customWidth="1"/>
    <col min="10251" max="10485" width="11.42578125" style="462"/>
    <col min="10486" max="10486" width="37.28515625" style="462" customWidth="1"/>
    <col min="10487" max="10487" width="5.5703125" style="462" customWidth="1"/>
    <col min="10488" max="10488" width="7.85546875" style="462" customWidth="1"/>
    <col min="10489" max="10489" width="6.42578125" style="462" customWidth="1"/>
    <col min="10490" max="10506" width="14.28515625" style="462" customWidth="1"/>
    <col min="10507" max="10741" width="11.42578125" style="462"/>
    <col min="10742" max="10742" width="37.28515625" style="462" customWidth="1"/>
    <col min="10743" max="10743" width="5.5703125" style="462" customWidth="1"/>
    <col min="10744" max="10744" width="7.85546875" style="462" customWidth="1"/>
    <col min="10745" max="10745" width="6.42578125" style="462" customWidth="1"/>
    <col min="10746" max="10762" width="14.28515625" style="462" customWidth="1"/>
    <col min="10763" max="10997" width="11.42578125" style="462"/>
    <col min="10998" max="10998" width="37.28515625" style="462" customWidth="1"/>
    <col min="10999" max="10999" width="5.5703125" style="462" customWidth="1"/>
    <col min="11000" max="11000" width="7.85546875" style="462" customWidth="1"/>
    <col min="11001" max="11001" width="6.42578125" style="462" customWidth="1"/>
    <col min="11002" max="11018" width="14.28515625" style="462" customWidth="1"/>
    <col min="11019" max="11253" width="11.42578125" style="462"/>
    <col min="11254" max="11254" width="37.28515625" style="462" customWidth="1"/>
    <col min="11255" max="11255" width="5.5703125" style="462" customWidth="1"/>
    <col min="11256" max="11256" width="7.85546875" style="462" customWidth="1"/>
    <col min="11257" max="11257" width="6.42578125" style="462" customWidth="1"/>
    <col min="11258" max="11274" width="14.28515625" style="462" customWidth="1"/>
    <col min="11275" max="11509" width="11.42578125" style="462"/>
    <col min="11510" max="11510" width="37.28515625" style="462" customWidth="1"/>
    <col min="11511" max="11511" width="5.5703125" style="462" customWidth="1"/>
    <col min="11512" max="11512" width="7.85546875" style="462" customWidth="1"/>
    <col min="11513" max="11513" width="6.42578125" style="462" customWidth="1"/>
    <col min="11514" max="11530" width="14.28515625" style="462" customWidth="1"/>
    <col min="11531" max="11765" width="11.42578125" style="462"/>
    <col min="11766" max="11766" width="37.28515625" style="462" customWidth="1"/>
    <col min="11767" max="11767" width="5.5703125" style="462" customWidth="1"/>
    <col min="11768" max="11768" width="7.85546875" style="462" customWidth="1"/>
    <col min="11769" max="11769" width="6.42578125" style="462" customWidth="1"/>
    <col min="11770" max="11786" width="14.28515625" style="462" customWidth="1"/>
    <col min="11787" max="12021" width="11.42578125" style="462"/>
    <col min="12022" max="12022" width="37.28515625" style="462" customWidth="1"/>
    <col min="12023" max="12023" width="5.5703125" style="462" customWidth="1"/>
    <col min="12024" max="12024" width="7.85546875" style="462" customWidth="1"/>
    <col min="12025" max="12025" width="6.42578125" style="462" customWidth="1"/>
    <col min="12026" max="12042" width="14.28515625" style="462" customWidth="1"/>
    <col min="12043" max="12277" width="11.42578125" style="462"/>
    <col min="12278" max="12278" width="37.28515625" style="462" customWidth="1"/>
    <col min="12279" max="12279" width="5.5703125" style="462" customWidth="1"/>
    <col min="12280" max="12280" width="7.85546875" style="462" customWidth="1"/>
    <col min="12281" max="12281" width="6.42578125" style="462" customWidth="1"/>
    <col min="12282" max="12298" width="14.28515625" style="462" customWidth="1"/>
    <col min="12299" max="12533" width="11.42578125" style="462"/>
    <col min="12534" max="12534" width="37.28515625" style="462" customWidth="1"/>
    <col min="12535" max="12535" width="5.5703125" style="462" customWidth="1"/>
    <col min="12536" max="12536" width="7.85546875" style="462" customWidth="1"/>
    <col min="12537" max="12537" width="6.42578125" style="462" customWidth="1"/>
    <col min="12538" max="12554" width="14.28515625" style="462" customWidth="1"/>
    <col min="12555" max="12789" width="11.42578125" style="462"/>
    <col min="12790" max="12790" width="37.28515625" style="462" customWidth="1"/>
    <col min="12791" max="12791" width="5.5703125" style="462" customWidth="1"/>
    <col min="12792" max="12792" width="7.85546875" style="462" customWidth="1"/>
    <col min="12793" max="12793" width="6.42578125" style="462" customWidth="1"/>
    <col min="12794" max="12810" width="14.28515625" style="462" customWidth="1"/>
    <col min="12811" max="13045" width="11.42578125" style="462"/>
    <col min="13046" max="13046" width="37.28515625" style="462" customWidth="1"/>
    <col min="13047" max="13047" width="5.5703125" style="462" customWidth="1"/>
    <col min="13048" max="13048" width="7.85546875" style="462" customWidth="1"/>
    <col min="13049" max="13049" width="6.42578125" style="462" customWidth="1"/>
    <col min="13050" max="13066" width="14.28515625" style="462" customWidth="1"/>
    <col min="13067" max="13301" width="11.42578125" style="462"/>
    <col min="13302" max="13302" width="37.28515625" style="462" customWidth="1"/>
    <col min="13303" max="13303" width="5.5703125" style="462" customWidth="1"/>
    <col min="13304" max="13304" width="7.85546875" style="462" customWidth="1"/>
    <col min="13305" max="13305" width="6.42578125" style="462" customWidth="1"/>
    <col min="13306" max="13322" width="14.28515625" style="462" customWidth="1"/>
    <col min="13323" max="13557" width="11.42578125" style="462"/>
    <col min="13558" max="13558" width="37.28515625" style="462" customWidth="1"/>
    <col min="13559" max="13559" width="5.5703125" style="462" customWidth="1"/>
    <col min="13560" max="13560" width="7.85546875" style="462" customWidth="1"/>
    <col min="13561" max="13561" width="6.42578125" style="462" customWidth="1"/>
    <col min="13562" max="13578" width="14.28515625" style="462" customWidth="1"/>
    <col min="13579" max="13813" width="11.42578125" style="462"/>
    <col min="13814" max="13814" width="37.28515625" style="462" customWidth="1"/>
    <col min="13815" max="13815" width="5.5703125" style="462" customWidth="1"/>
    <col min="13816" max="13816" width="7.85546875" style="462" customWidth="1"/>
    <col min="13817" max="13817" width="6.42578125" style="462" customWidth="1"/>
    <col min="13818" max="13834" width="14.28515625" style="462" customWidth="1"/>
    <col min="13835" max="14069" width="11.42578125" style="462"/>
    <col min="14070" max="14070" width="37.28515625" style="462" customWidth="1"/>
    <col min="14071" max="14071" width="5.5703125" style="462" customWidth="1"/>
    <col min="14072" max="14072" width="7.85546875" style="462" customWidth="1"/>
    <col min="14073" max="14073" width="6.42578125" style="462" customWidth="1"/>
    <col min="14074" max="14090" width="14.28515625" style="462" customWidth="1"/>
    <col min="14091" max="14325" width="11.42578125" style="462"/>
    <col min="14326" max="14326" width="37.28515625" style="462" customWidth="1"/>
    <col min="14327" max="14327" width="5.5703125" style="462" customWidth="1"/>
    <col min="14328" max="14328" width="7.85546875" style="462" customWidth="1"/>
    <col min="14329" max="14329" width="6.42578125" style="462" customWidth="1"/>
    <col min="14330" max="14346" width="14.28515625" style="462" customWidth="1"/>
    <col min="14347" max="14581" width="11.42578125" style="462"/>
    <col min="14582" max="14582" width="37.28515625" style="462" customWidth="1"/>
    <col min="14583" max="14583" width="5.5703125" style="462" customWidth="1"/>
    <col min="14584" max="14584" width="7.85546875" style="462" customWidth="1"/>
    <col min="14585" max="14585" width="6.42578125" style="462" customWidth="1"/>
    <col min="14586" max="14602" width="14.28515625" style="462" customWidth="1"/>
    <col min="14603" max="14837" width="11.42578125" style="462"/>
    <col min="14838" max="14838" width="37.28515625" style="462" customWidth="1"/>
    <col min="14839" max="14839" width="5.5703125" style="462" customWidth="1"/>
    <col min="14840" max="14840" width="7.85546875" style="462" customWidth="1"/>
    <col min="14841" max="14841" width="6.42578125" style="462" customWidth="1"/>
    <col min="14842" max="14858" width="14.28515625" style="462" customWidth="1"/>
    <col min="14859" max="15093" width="11.42578125" style="462"/>
    <col min="15094" max="15094" width="37.28515625" style="462" customWidth="1"/>
    <col min="15095" max="15095" width="5.5703125" style="462" customWidth="1"/>
    <col min="15096" max="15096" width="7.85546875" style="462" customWidth="1"/>
    <col min="15097" max="15097" width="6.42578125" style="462" customWidth="1"/>
    <col min="15098" max="15114" width="14.28515625" style="462" customWidth="1"/>
    <col min="15115" max="15349" width="11.42578125" style="462"/>
    <col min="15350" max="15350" width="37.28515625" style="462" customWidth="1"/>
    <col min="15351" max="15351" width="5.5703125" style="462" customWidth="1"/>
    <col min="15352" max="15352" width="7.85546875" style="462" customWidth="1"/>
    <col min="15353" max="15353" width="6.42578125" style="462" customWidth="1"/>
    <col min="15354" max="15370" width="14.28515625" style="462" customWidth="1"/>
    <col min="15371" max="15605" width="11.42578125" style="462"/>
    <col min="15606" max="15606" width="37.28515625" style="462" customWidth="1"/>
    <col min="15607" max="15607" width="5.5703125" style="462" customWidth="1"/>
    <col min="15608" max="15608" width="7.85546875" style="462" customWidth="1"/>
    <col min="15609" max="15609" width="6.42578125" style="462" customWidth="1"/>
    <col min="15610" max="15626" width="14.28515625" style="462" customWidth="1"/>
    <col min="15627" max="15861" width="11.42578125" style="462"/>
    <col min="15862" max="15862" width="37.28515625" style="462" customWidth="1"/>
    <col min="15863" max="15863" width="5.5703125" style="462" customWidth="1"/>
    <col min="15864" max="15864" width="7.85546875" style="462" customWidth="1"/>
    <col min="15865" max="15865" width="6.42578125" style="462" customWidth="1"/>
    <col min="15866" max="15882" width="14.28515625" style="462" customWidth="1"/>
    <col min="15883" max="16117" width="11.42578125" style="462"/>
    <col min="16118" max="16118" width="37.28515625" style="462" customWidth="1"/>
    <col min="16119" max="16119" width="5.5703125" style="462" customWidth="1"/>
    <col min="16120" max="16120" width="7.85546875" style="462" customWidth="1"/>
    <col min="16121" max="16121" width="6.42578125" style="462" customWidth="1"/>
    <col min="16122" max="16138" width="14.28515625" style="462" customWidth="1"/>
    <col min="16139" max="16384" width="11.42578125" style="462"/>
  </cols>
  <sheetData>
    <row r="1" spans="1:10" ht="21.95" customHeight="1" x14ac:dyDescent="0.2">
      <c r="A1" s="461"/>
      <c r="B1" s="461"/>
      <c r="C1" s="461"/>
      <c r="D1" s="461"/>
      <c r="E1" s="461"/>
      <c r="F1" s="461"/>
      <c r="G1" s="461"/>
      <c r="H1" s="461"/>
      <c r="I1" s="461"/>
      <c r="J1" s="461"/>
    </row>
    <row r="2" spans="1:10" ht="14.45" customHeight="1" x14ac:dyDescent="0.2">
      <c r="A2" s="463" t="s">
        <v>269</v>
      </c>
    </row>
    <row r="3" spans="1:10" ht="21.95" customHeight="1" x14ac:dyDescent="0.2">
      <c r="A3" s="461"/>
      <c r="B3" s="461"/>
      <c r="C3" s="461"/>
      <c r="D3" s="461"/>
      <c r="E3" s="461"/>
      <c r="F3" s="461"/>
      <c r="G3" s="461"/>
      <c r="H3" s="461"/>
      <c r="I3" s="461"/>
      <c r="J3" s="461"/>
    </row>
    <row r="4" spans="1:10" ht="15.2" customHeight="1" x14ac:dyDescent="0.2">
      <c r="A4" s="461"/>
      <c r="B4" s="461"/>
      <c r="C4" s="461"/>
      <c r="D4" s="461"/>
      <c r="E4" s="461"/>
      <c r="F4" s="461"/>
      <c r="G4" s="461"/>
      <c r="H4" s="461"/>
      <c r="I4" s="461"/>
      <c r="J4" s="461"/>
    </row>
    <row r="5" spans="1:10" ht="21.95" customHeight="1" thickBot="1" x14ac:dyDescent="0.25">
      <c r="A5" s="461"/>
      <c r="B5" s="461"/>
      <c r="C5" s="461"/>
      <c r="D5" s="461"/>
      <c r="E5" s="461"/>
      <c r="F5" s="461"/>
      <c r="G5" s="461"/>
      <c r="H5" s="461"/>
      <c r="I5" s="461"/>
      <c r="J5" s="461"/>
    </row>
    <row r="6" spans="1:10" s="464" customFormat="1" ht="15.2" customHeight="1" thickBot="1" x14ac:dyDescent="0.3">
      <c r="A6" s="480" t="s">
        <v>270</v>
      </c>
      <c r="B6" s="481">
        <v>2001</v>
      </c>
      <c r="C6" s="482">
        <v>2002</v>
      </c>
      <c r="D6" s="483">
        <v>2003</v>
      </c>
      <c r="E6" s="482">
        <v>2004</v>
      </c>
      <c r="F6" s="483">
        <v>2005</v>
      </c>
      <c r="G6" s="482">
        <v>2006</v>
      </c>
      <c r="H6" s="483">
        <v>2007</v>
      </c>
      <c r="I6" s="482">
        <v>2008</v>
      </c>
      <c r="J6" s="484">
        <v>2009</v>
      </c>
    </row>
    <row r="7" spans="1:10" ht="15.2" customHeight="1" x14ac:dyDescent="0.2">
      <c r="A7" s="475" t="s">
        <v>271</v>
      </c>
      <c r="B7" s="476">
        <v>303</v>
      </c>
      <c r="C7" s="477">
        <v>312</v>
      </c>
      <c r="D7" s="478">
        <v>309</v>
      </c>
      <c r="E7" s="477">
        <v>325</v>
      </c>
      <c r="F7" s="478">
        <v>340</v>
      </c>
      <c r="G7" s="477">
        <v>351</v>
      </c>
      <c r="H7" s="478">
        <v>358</v>
      </c>
      <c r="I7" s="477">
        <v>394</v>
      </c>
      <c r="J7" s="479">
        <v>314</v>
      </c>
    </row>
    <row r="8" spans="1:10" ht="15.2" customHeight="1" x14ac:dyDescent="0.2">
      <c r="A8" s="473" t="s">
        <v>272</v>
      </c>
      <c r="B8" s="467"/>
      <c r="C8" s="465"/>
      <c r="D8" s="466"/>
      <c r="E8" s="465"/>
      <c r="F8" s="466"/>
      <c r="G8" s="465"/>
      <c r="H8" s="466"/>
      <c r="I8" s="465"/>
      <c r="J8" s="468"/>
    </row>
    <row r="9" spans="1:10" ht="15.2" customHeight="1" x14ac:dyDescent="0.2">
      <c r="A9" s="473" t="s">
        <v>273</v>
      </c>
      <c r="B9" s="467">
        <v>11430338</v>
      </c>
      <c r="C9" s="465">
        <v>12545493</v>
      </c>
      <c r="D9" s="466">
        <v>15146530</v>
      </c>
      <c r="E9" s="465">
        <v>18201149</v>
      </c>
      <c r="F9" s="466">
        <v>20627518</v>
      </c>
      <c r="G9" s="465">
        <v>21840566</v>
      </c>
      <c r="H9" s="466">
        <v>23218877</v>
      </c>
      <c r="I9" s="465">
        <v>24229858</v>
      </c>
      <c r="J9" s="468">
        <v>21221754</v>
      </c>
    </row>
    <row r="10" spans="1:10" ht="15.2" customHeight="1" x14ac:dyDescent="0.2">
      <c r="A10" s="473" t="s">
        <v>274</v>
      </c>
      <c r="B10" s="467">
        <v>40272336</v>
      </c>
      <c r="C10" s="465">
        <v>43402657</v>
      </c>
      <c r="D10" s="466">
        <v>53113739</v>
      </c>
      <c r="E10" s="465">
        <v>62873040</v>
      </c>
      <c r="F10" s="466">
        <v>69588966</v>
      </c>
      <c r="G10" s="465">
        <v>73778340</v>
      </c>
      <c r="H10" s="466">
        <v>77277947</v>
      </c>
      <c r="I10" s="465">
        <v>81354061</v>
      </c>
      <c r="J10" s="468">
        <v>69095732</v>
      </c>
    </row>
    <row r="11" spans="1:10" ht="15.2" customHeight="1" x14ac:dyDescent="0.2">
      <c r="A11" s="473" t="s">
        <v>275</v>
      </c>
      <c r="B11" s="467"/>
      <c r="C11" s="465"/>
      <c r="D11" s="466"/>
      <c r="E11" s="465"/>
      <c r="F11" s="466"/>
      <c r="G11" s="465"/>
      <c r="H11" s="466"/>
      <c r="I11" s="465"/>
      <c r="J11" s="468"/>
    </row>
    <row r="12" spans="1:10" ht="15.2" customHeight="1" x14ac:dyDescent="0.2">
      <c r="A12" s="473" t="s">
        <v>276</v>
      </c>
      <c r="B12" s="467">
        <v>40272336</v>
      </c>
      <c r="C12" s="465">
        <v>43402657</v>
      </c>
      <c r="D12" s="466">
        <v>53113739</v>
      </c>
      <c r="E12" s="465">
        <v>62873040</v>
      </c>
      <c r="F12" s="466">
        <v>69588966</v>
      </c>
      <c r="G12" s="465">
        <v>73778340</v>
      </c>
      <c r="H12" s="466">
        <v>77277947</v>
      </c>
      <c r="I12" s="465">
        <v>81345011</v>
      </c>
      <c r="J12" s="468">
        <v>69092896</v>
      </c>
    </row>
    <row r="13" spans="1:10" ht="15.2" customHeight="1" x14ac:dyDescent="0.2">
      <c r="A13" s="473" t="s">
        <v>277</v>
      </c>
      <c r="B13" s="467">
        <v>40152735</v>
      </c>
      <c r="C13" s="465">
        <v>43260935</v>
      </c>
      <c r="D13" s="466">
        <v>52946871</v>
      </c>
      <c r="E13" s="465">
        <v>62370002</v>
      </c>
      <c r="F13" s="466">
        <v>68841736</v>
      </c>
      <c r="G13" s="465">
        <v>72919268</v>
      </c>
      <c r="H13" s="466">
        <v>76220076</v>
      </c>
      <c r="I13" s="465">
        <v>80381169</v>
      </c>
      <c r="J13" s="468">
        <v>68233252</v>
      </c>
    </row>
    <row r="14" spans="1:10" ht="15.2" customHeight="1" x14ac:dyDescent="0.2">
      <c r="A14" s="473" t="s">
        <v>278</v>
      </c>
      <c r="B14" s="467">
        <v>119601</v>
      </c>
      <c r="C14" s="465">
        <v>141722</v>
      </c>
      <c r="D14" s="466">
        <v>166868</v>
      </c>
      <c r="E14" s="465">
        <v>503038</v>
      </c>
      <c r="F14" s="466">
        <v>747230</v>
      </c>
      <c r="G14" s="465">
        <v>859072</v>
      </c>
      <c r="H14" s="466">
        <v>1057871</v>
      </c>
      <c r="I14" s="465">
        <v>963842</v>
      </c>
      <c r="J14" s="468">
        <v>859644</v>
      </c>
    </row>
    <row r="15" spans="1:10" ht="15.2" customHeight="1" x14ac:dyDescent="0.2">
      <c r="A15" s="473" t="s">
        <v>279</v>
      </c>
      <c r="B15" s="467">
        <v>105898</v>
      </c>
      <c r="C15" s="465">
        <v>117315</v>
      </c>
      <c r="D15" s="466">
        <v>136528</v>
      </c>
      <c r="E15" s="465">
        <v>304079</v>
      </c>
      <c r="F15" s="466">
        <v>540744</v>
      </c>
      <c r="G15" s="465">
        <v>580353</v>
      </c>
      <c r="H15" s="466">
        <v>692800</v>
      </c>
      <c r="I15" s="465">
        <v>693492</v>
      </c>
      <c r="J15" s="468">
        <v>542091</v>
      </c>
    </row>
    <row r="16" spans="1:10" ht="15.2" customHeight="1" x14ac:dyDescent="0.2">
      <c r="A16" s="473" t="s">
        <v>280</v>
      </c>
      <c r="B16" s="467">
        <v>13703</v>
      </c>
      <c r="C16" s="465">
        <v>24407</v>
      </c>
      <c r="D16" s="466">
        <v>30340</v>
      </c>
      <c r="E16" s="465">
        <v>198959</v>
      </c>
      <c r="F16" s="466">
        <v>206486</v>
      </c>
      <c r="G16" s="465">
        <v>278719</v>
      </c>
      <c r="H16" s="466">
        <v>365071</v>
      </c>
      <c r="I16" s="465">
        <v>270350</v>
      </c>
      <c r="J16" s="468">
        <v>317553</v>
      </c>
    </row>
    <row r="17" spans="1:10" ht="15.2" customHeight="1" x14ac:dyDescent="0.2">
      <c r="A17" s="473" t="s">
        <v>281</v>
      </c>
      <c r="B17" s="467"/>
      <c r="C17" s="465"/>
      <c r="D17" s="466"/>
      <c r="E17" s="465"/>
      <c r="F17" s="466"/>
      <c r="G17" s="465"/>
      <c r="H17" s="466"/>
      <c r="I17" s="465"/>
      <c r="J17" s="468"/>
    </row>
    <row r="18" spans="1:10" ht="15.2" customHeight="1" x14ac:dyDescent="0.2">
      <c r="A18" s="473" t="s">
        <v>282</v>
      </c>
      <c r="B18" s="467">
        <v>39141803</v>
      </c>
      <c r="C18" s="465">
        <v>42294622</v>
      </c>
      <c r="D18" s="466">
        <v>51990677</v>
      </c>
      <c r="E18" s="465">
        <v>61713673</v>
      </c>
      <c r="F18" s="466">
        <v>68374994</v>
      </c>
      <c r="G18" s="465">
        <v>72488569</v>
      </c>
      <c r="H18" s="466">
        <v>74360308</v>
      </c>
      <c r="I18" s="465">
        <v>78303092</v>
      </c>
      <c r="J18" s="468">
        <v>67266997</v>
      </c>
    </row>
    <row r="19" spans="1:10" ht="15.2" customHeight="1" x14ac:dyDescent="0.2">
      <c r="A19" s="473" t="s">
        <v>283</v>
      </c>
      <c r="B19" s="467">
        <v>2275256</v>
      </c>
      <c r="C19" s="465">
        <v>2360492</v>
      </c>
      <c r="D19" s="466">
        <v>3530449</v>
      </c>
      <c r="E19" s="465">
        <v>4505113</v>
      </c>
      <c r="F19" s="466">
        <v>5262415</v>
      </c>
      <c r="G19" s="465">
        <v>5526947</v>
      </c>
      <c r="H19" s="466">
        <v>5649579</v>
      </c>
      <c r="I19" s="465">
        <v>6148844</v>
      </c>
      <c r="J19" s="468">
        <v>6228593</v>
      </c>
    </row>
    <row r="20" spans="1:10" ht="15.2" customHeight="1" x14ac:dyDescent="0.2">
      <c r="A20" s="473" t="s">
        <v>284</v>
      </c>
      <c r="B20" s="467">
        <v>36866547</v>
      </c>
      <c r="C20" s="465">
        <v>39934130</v>
      </c>
      <c r="D20" s="466">
        <v>48460228</v>
      </c>
      <c r="E20" s="465">
        <v>57208560</v>
      </c>
      <c r="F20" s="466">
        <v>63112579</v>
      </c>
      <c r="G20" s="465">
        <v>66961622</v>
      </c>
      <c r="H20" s="466">
        <v>68710729</v>
      </c>
      <c r="I20" s="465">
        <v>72154248</v>
      </c>
      <c r="J20" s="468">
        <v>61038404</v>
      </c>
    </row>
    <row r="21" spans="1:10" ht="15.2" customHeight="1" x14ac:dyDescent="0.2">
      <c r="A21" s="473" t="s">
        <v>285</v>
      </c>
      <c r="B21" s="467">
        <v>30515811</v>
      </c>
      <c r="C21" s="465">
        <v>32708968</v>
      </c>
      <c r="D21" s="466">
        <v>40343233</v>
      </c>
      <c r="E21" s="465">
        <v>47320585</v>
      </c>
      <c r="F21" s="466">
        <v>52068395</v>
      </c>
      <c r="G21" s="465">
        <v>55238812</v>
      </c>
      <c r="H21" s="466">
        <v>57608886</v>
      </c>
      <c r="I21" s="465">
        <v>60553795</v>
      </c>
      <c r="J21" s="468">
        <v>50623474</v>
      </c>
    </row>
    <row r="22" spans="1:10" ht="15.2" customHeight="1" x14ac:dyDescent="0.2">
      <c r="A22" s="473" t="s">
        <v>286</v>
      </c>
      <c r="B22" s="467">
        <v>2332</v>
      </c>
      <c r="C22" s="465">
        <v>-1362</v>
      </c>
      <c r="D22" s="466">
        <v>18514</v>
      </c>
      <c r="E22" s="465">
        <v>-8471</v>
      </c>
      <c r="F22" s="466">
        <v>42259</v>
      </c>
      <c r="G22" s="465">
        <v>16855</v>
      </c>
      <c r="H22" s="466">
        <v>11867</v>
      </c>
      <c r="I22" s="465">
        <v>1784</v>
      </c>
      <c r="J22" s="468">
        <v>2467</v>
      </c>
    </row>
    <row r="23" spans="1:10" ht="15.2" customHeight="1" x14ac:dyDescent="0.2">
      <c r="A23" s="473" t="s">
        <v>287</v>
      </c>
      <c r="B23" s="467">
        <v>1671481</v>
      </c>
      <c r="C23" s="465">
        <v>1853166</v>
      </c>
      <c r="D23" s="466">
        <v>2357510</v>
      </c>
      <c r="E23" s="465">
        <v>2657165</v>
      </c>
      <c r="F23" s="466">
        <v>3064688</v>
      </c>
      <c r="G23" s="465">
        <v>3284183</v>
      </c>
      <c r="H23" s="466">
        <v>3537949</v>
      </c>
      <c r="I23" s="465">
        <v>3427808</v>
      </c>
      <c r="J23" s="468">
        <v>2747029</v>
      </c>
    </row>
    <row r="24" spans="1:10" ht="15.2" customHeight="1" x14ac:dyDescent="0.2">
      <c r="A24" s="473" t="s">
        <v>288</v>
      </c>
      <c r="B24" s="467">
        <v>177035</v>
      </c>
      <c r="C24" s="465">
        <v>241643</v>
      </c>
      <c r="D24" s="466">
        <v>254503</v>
      </c>
      <c r="E24" s="465">
        <v>222682</v>
      </c>
      <c r="F24" s="466">
        <v>222122</v>
      </c>
      <c r="G24" s="465">
        <v>234508</v>
      </c>
      <c r="H24" s="466">
        <v>299498</v>
      </c>
      <c r="I24" s="465">
        <v>180758</v>
      </c>
      <c r="J24" s="468">
        <v>159828</v>
      </c>
    </row>
    <row r="25" spans="1:10" ht="15.2" customHeight="1" x14ac:dyDescent="0.2">
      <c r="A25" s="473" t="s">
        <v>289</v>
      </c>
      <c r="B25" s="467">
        <v>7348</v>
      </c>
      <c r="C25" s="465">
        <v>15356</v>
      </c>
      <c r="D25" s="466">
        <v>17359</v>
      </c>
      <c r="E25" s="465">
        <v>18874</v>
      </c>
      <c r="F25" s="466">
        <v>16927</v>
      </c>
      <c r="G25" s="465">
        <v>16555</v>
      </c>
      <c r="H25" s="466">
        <v>22833</v>
      </c>
      <c r="I25" s="465">
        <v>24725</v>
      </c>
      <c r="J25" s="468">
        <v>23928</v>
      </c>
    </row>
    <row r="26" spans="1:10" ht="15.2" customHeight="1" x14ac:dyDescent="0.2">
      <c r="A26" s="473" t="s">
        <v>290</v>
      </c>
      <c r="B26" s="467">
        <v>1487098</v>
      </c>
      <c r="C26" s="465">
        <v>1596167</v>
      </c>
      <c r="D26" s="466">
        <v>2085648</v>
      </c>
      <c r="E26" s="465">
        <v>2415609</v>
      </c>
      <c r="F26" s="466">
        <v>2825639</v>
      </c>
      <c r="G26" s="465">
        <v>3033120</v>
      </c>
      <c r="H26" s="466">
        <v>3215618</v>
      </c>
      <c r="I26" s="465">
        <v>3222325</v>
      </c>
      <c r="J26" s="468">
        <v>2563273</v>
      </c>
    </row>
    <row r="27" spans="1:10" ht="15.2" customHeight="1" x14ac:dyDescent="0.2">
      <c r="A27" s="473" t="s">
        <v>291</v>
      </c>
      <c r="B27" s="467">
        <v>3868838</v>
      </c>
      <c r="C27" s="465">
        <v>4129846</v>
      </c>
      <c r="D27" s="466">
        <v>5164797</v>
      </c>
      <c r="E27" s="465">
        <v>6173147</v>
      </c>
      <c r="F27" s="466">
        <v>7236048</v>
      </c>
      <c r="G27" s="465">
        <v>7745066</v>
      </c>
      <c r="H27" s="466">
        <v>8393326</v>
      </c>
      <c r="I27" s="465">
        <v>9119228</v>
      </c>
      <c r="J27" s="468">
        <v>8094982</v>
      </c>
    </row>
    <row r="28" spans="1:10" ht="15.2" customHeight="1" x14ac:dyDescent="0.2">
      <c r="A28" s="473" t="s">
        <v>292</v>
      </c>
      <c r="B28" s="467">
        <v>31059612</v>
      </c>
      <c r="C28" s="465">
        <v>32947191</v>
      </c>
      <c r="D28" s="466">
        <v>40934624</v>
      </c>
      <c r="E28" s="465">
        <v>48058789</v>
      </c>
      <c r="F28" s="466">
        <v>52947367</v>
      </c>
      <c r="G28" s="465">
        <v>56151602</v>
      </c>
      <c r="H28" s="466">
        <v>58621876</v>
      </c>
      <c r="I28" s="465">
        <v>61242207</v>
      </c>
      <c r="J28" s="468">
        <v>50885889</v>
      </c>
    </row>
    <row r="29" spans="1:10" ht="15.2" customHeight="1" x14ac:dyDescent="0.2">
      <c r="A29" s="473" t="s">
        <v>293</v>
      </c>
      <c r="B29" s="467"/>
      <c r="C29" s="465"/>
      <c r="D29" s="466"/>
      <c r="E29" s="465"/>
      <c r="F29" s="466"/>
      <c r="G29" s="465"/>
      <c r="H29" s="466"/>
      <c r="I29" s="465"/>
      <c r="J29" s="468"/>
    </row>
    <row r="30" spans="1:10" ht="15.2" customHeight="1" x14ac:dyDescent="0.2">
      <c r="A30" s="473" t="s">
        <v>294</v>
      </c>
      <c r="B30" s="467">
        <v>30908336</v>
      </c>
      <c r="C30" s="465">
        <v>32789904</v>
      </c>
      <c r="D30" s="466">
        <v>40742751</v>
      </c>
      <c r="E30" s="465">
        <v>47778144</v>
      </c>
      <c r="F30" s="466">
        <v>52705273</v>
      </c>
      <c r="G30" s="465">
        <v>55869701</v>
      </c>
      <c r="H30" s="466">
        <v>58059997</v>
      </c>
      <c r="I30" s="465">
        <v>60716105</v>
      </c>
      <c r="J30" s="468">
        <v>50210741</v>
      </c>
    </row>
    <row r="31" spans="1:10" ht="15.2" customHeight="1" x14ac:dyDescent="0.2">
      <c r="A31" s="473" t="s">
        <v>277</v>
      </c>
      <c r="B31" s="467">
        <v>29572208</v>
      </c>
      <c r="C31" s="465">
        <v>31361371</v>
      </c>
      <c r="D31" s="466">
        <v>38926685</v>
      </c>
      <c r="E31" s="465">
        <v>45134188</v>
      </c>
      <c r="F31" s="466">
        <v>49573078</v>
      </c>
      <c r="G31" s="465">
        <v>52107603</v>
      </c>
      <c r="H31" s="466">
        <v>53718109</v>
      </c>
      <c r="I31" s="465">
        <v>56313899</v>
      </c>
      <c r="J31" s="468">
        <v>47422092</v>
      </c>
    </row>
    <row r="32" spans="1:10" ht="15.2" customHeight="1" x14ac:dyDescent="0.2">
      <c r="A32" s="473" t="s">
        <v>278</v>
      </c>
      <c r="B32" s="467">
        <v>1336128</v>
      </c>
      <c r="C32" s="465">
        <v>1428533</v>
      </c>
      <c r="D32" s="466">
        <v>1816066</v>
      </c>
      <c r="E32" s="465">
        <v>2643956</v>
      </c>
      <c r="F32" s="466">
        <v>3132195</v>
      </c>
      <c r="G32" s="465">
        <v>3762098</v>
      </c>
      <c r="H32" s="466">
        <v>4341888</v>
      </c>
      <c r="I32" s="465">
        <v>4402206</v>
      </c>
      <c r="J32" s="468">
        <v>2788649</v>
      </c>
    </row>
    <row r="33" spans="1:10" ht="15.2" customHeight="1" x14ac:dyDescent="0.2">
      <c r="A33" s="473" t="s">
        <v>279</v>
      </c>
      <c r="B33" s="467">
        <v>848208</v>
      </c>
      <c r="C33" s="465">
        <v>951943</v>
      </c>
      <c r="D33" s="466">
        <v>1321281</v>
      </c>
      <c r="E33" s="465">
        <v>1801187</v>
      </c>
      <c r="F33" s="466">
        <v>2112256</v>
      </c>
      <c r="G33" s="465">
        <v>2298117</v>
      </c>
      <c r="H33" s="466">
        <v>2779725</v>
      </c>
      <c r="I33" s="465">
        <v>2759970</v>
      </c>
      <c r="J33" s="468">
        <v>1397587</v>
      </c>
    </row>
    <row r="34" spans="1:10" ht="15.2" customHeight="1" x14ac:dyDescent="0.2">
      <c r="A34" s="473" t="s">
        <v>280</v>
      </c>
      <c r="B34" s="467">
        <v>487920</v>
      </c>
      <c r="C34" s="465">
        <v>476590</v>
      </c>
      <c r="D34" s="466">
        <v>494785</v>
      </c>
      <c r="E34" s="465">
        <v>842769</v>
      </c>
      <c r="F34" s="466">
        <v>1019939</v>
      </c>
      <c r="G34" s="465">
        <v>1463981</v>
      </c>
      <c r="H34" s="466">
        <v>1562163</v>
      </c>
      <c r="I34" s="465">
        <v>1642236</v>
      </c>
      <c r="J34" s="468">
        <v>1391062</v>
      </c>
    </row>
    <row r="35" spans="1:10" ht="15.2" customHeight="1" x14ac:dyDescent="0.2">
      <c r="A35" s="473" t="s">
        <v>295</v>
      </c>
      <c r="B35" s="467"/>
      <c r="C35" s="465"/>
      <c r="D35" s="466"/>
      <c r="E35" s="465"/>
      <c r="F35" s="466"/>
      <c r="G35" s="465"/>
      <c r="H35" s="466"/>
      <c r="I35" s="465"/>
      <c r="J35" s="468"/>
    </row>
    <row r="36" spans="1:10" ht="15.2" customHeight="1" x14ac:dyDescent="0.2">
      <c r="A36" s="473" t="s">
        <v>296</v>
      </c>
      <c r="B36" s="467">
        <v>30181564</v>
      </c>
      <c r="C36" s="465">
        <v>32099751</v>
      </c>
      <c r="D36" s="466">
        <v>40094727</v>
      </c>
      <c r="E36" s="465">
        <v>47191020</v>
      </c>
      <c r="F36" s="466">
        <v>52031010</v>
      </c>
      <c r="G36" s="465">
        <v>55191850</v>
      </c>
      <c r="H36" s="466">
        <v>56638275</v>
      </c>
      <c r="I36" s="465">
        <v>59186601</v>
      </c>
      <c r="J36" s="468">
        <v>49651619</v>
      </c>
    </row>
    <row r="37" spans="1:10" ht="15.2" customHeight="1" x14ac:dyDescent="0.2">
      <c r="A37" s="473" t="s">
        <v>283</v>
      </c>
      <c r="B37" s="467">
        <v>2984868</v>
      </c>
      <c r="C37" s="465">
        <v>3362123</v>
      </c>
      <c r="D37" s="466">
        <v>4662824</v>
      </c>
      <c r="E37" s="465">
        <v>6809330</v>
      </c>
      <c r="F37" s="466">
        <v>7682812</v>
      </c>
      <c r="G37" s="465">
        <v>8074319</v>
      </c>
      <c r="H37" s="466">
        <v>8731661</v>
      </c>
      <c r="I37" s="465">
        <v>11314255</v>
      </c>
      <c r="J37" s="468">
        <v>9406906</v>
      </c>
    </row>
    <row r="38" spans="1:10" ht="15.2" customHeight="1" x14ac:dyDescent="0.2">
      <c r="A38" s="473" t="s">
        <v>284</v>
      </c>
      <c r="B38" s="467">
        <v>27196696</v>
      </c>
      <c r="C38" s="465">
        <v>28737628</v>
      </c>
      <c r="D38" s="466">
        <v>35431903</v>
      </c>
      <c r="E38" s="465">
        <v>40381690</v>
      </c>
      <c r="F38" s="466">
        <v>44348198</v>
      </c>
      <c r="G38" s="465">
        <v>47117531</v>
      </c>
      <c r="H38" s="466">
        <v>47906614</v>
      </c>
      <c r="I38" s="465">
        <v>47872346</v>
      </c>
      <c r="J38" s="468">
        <v>40244713</v>
      </c>
    </row>
    <row r="39" spans="1:10" ht="15.2" customHeight="1" x14ac:dyDescent="0.2">
      <c r="A39" s="473" t="s">
        <v>297</v>
      </c>
      <c r="B39" s="467">
        <v>323617</v>
      </c>
      <c r="C39" s="465">
        <v>72179</v>
      </c>
      <c r="D39" s="466">
        <v>391351</v>
      </c>
      <c r="E39" s="465">
        <v>444646</v>
      </c>
      <c r="F39" s="466">
        <v>465472</v>
      </c>
      <c r="G39" s="465">
        <v>437713</v>
      </c>
      <c r="H39" s="466">
        <v>432168</v>
      </c>
      <c r="I39" s="465">
        <v>-4020</v>
      </c>
      <c r="J39" s="468">
        <v>-580739</v>
      </c>
    </row>
    <row r="40" spans="1:10" ht="15.2" customHeight="1" x14ac:dyDescent="0.2">
      <c r="A40" s="473" t="s">
        <v>298</v>
      </c>
      <c r="B40" s="467">
        <v>30515811</v>
      </c>
      <c r="C40" s="465">
        <v>32708968</v>
      </c>
      <c r="D40" s="466">
        <v>40343233</v>
      </c>
      <c r="E40" s="465">
        <v>47320585</v>
      </c>
      <c r="F40" s="466">
        <v>52068395</v>
      </c>
      <c r="G40" s="465">
        <v>55238812</v>
      </c>
      <c r="H40" s="466">
        <v>57608886</v>
      </c>
      <c r="I40" s="465">
        <v>60553795</v>
      </c>
      <c r="J40" s="468">
        <v>50623474</v>
      </c>
    </row>
    <row r="41" spans="1:10" ht="15.2" customHeight="1" x14ac:dyDescent="0.2">
      <c r="A41" s="473" t="s">
        <v>299</v>
      </c>
      <c r="B41" s="467">
        <v>3648654</v>
      </c>
      <c r="C41" s="465">
        <v>3963802</v>
      </c>
      <c r="D41" s="466">
        <v>4964757</v>
      </c>
      <c r="E41" s="465">
        <v>5879589</v>
      </c>
      <c r="F41" s="466">
        <v>6822548</v>
      </c>
      <c r="G41" s="465">
        <v>7269989</v>
      </c>
      <c r="H41" s="466">
        <v>7812504</v>
      </c>
      <c r="I41" s="465">
        <v>8426796</v>
      </c>
      <c r="J41" s="468">
        <v>7251828</v>
      </c>
    </row>
    <row r="42" spans="1:10" ht="15.2" customHeight="1" x14ac:dyDescent="0.2">
      <c r="A42" s="473" t="s">
        <v>300</v>
      </c>
      <c r="B42" s="467">
        <v>7561500</v>
      </c>
      <c r="C42" s="465">
        <v>8415647</v>
      </c>
      <c r="D42" s="466">
        <v>9981733</v>
      </c>
      <c r="E42" s="465">
        <v>12028002</v>
      </c>
      <c r="F42" s="466">
        <v>13391470</v>
      </c>
      <c r="G42" s="465">
        <v>14095500</v>
      </c>
      <c r="H42" s="466">
        <v>14825551</v>
      </c>
      <c r="I42" s="465">
        <v>15110630</v>
      </c>
      <c r="J42" s="468">
        <v>13126772</v>
      </c>
    </row>
    <row r="43" spans="1:10" ht="15.2" customHeight="1" x14ac:dyDescent="0.2">
      <c r="A43" s="473" t="s">
        <v>301</v>
      </c>
      <c r="B43" s="467">
        <v>4888498</v>
      </c>
      <c r="C43" s="465">
        <v>5341409</v>
      </c>
      <c r="D43" s="466">
        <v>6372520</v>
      </c>
      <c r="E43" s="465">
        <v>7485868</v>
      </c>
      <c r="F43" s="466">
        <v>8350369</v>
      </c>
      <c r="G43" s="465">
        <v>8946722</v>
      </c>
      <c r="H43" s="466">
        <v>9323705</v>
      </c>
      <c r="I43" s="465">
        <v>9921895</v>
      </c>
      <c r="J43" s="468">
        <v>8598042</v>
      </c>
    </row>
    <row r="44" spans="1:10" ht="15.2" customHeight="1" x14ac:dyDescent="0.2">
      <c r="A44" s="473" t="s">
        <v>302</v>
      </c>
      <c r="B44" s="467">
        <v>2673002</v>
      </c>
      <c r="C44" s="465">
        <v>3074238</v>
      </c>
      <c r="D44" s="466">
        <v>3609213</v>
      </c>
      <c r="E44" s="465">
        <v>4542134</v>
      </c>
      <c r="F44" s="466">
        <v>5041101</v>
      </c>
      <c r="G44" s="465">
        <v>5148778</v>
      </c>
      <c r="H44" s="466">
        <v>5501846</v>
      </c>
      <c r="I44" s="465">
        <v>5188735</v>
      </c>
      <c r="J44" s="468">
        <v>4528730</v>
      </c>
    </row>
    <row r="45" spans="1:10" ht="15.2" customHeight="1" x14ac:dyDescent="0.2">
      <c r="A45" s="473" t="s">
        <v>303</v>
      </c>
      <c r="B45" s="467">
        <v>-54380</v>
      </c>
      <c r="C45" s="465">
        <v>-32020</v>
      </c>
      <c r="D45" s="466">
        <v>-1681</v>
      </c>
      <c r="E45" s="465">
        <v>64696</v>
      </c>
      <c r="F45" s="466">
        <v>133745</v>
      </c>
      <c r="G45" s="465">
        <v>20560</v>
      </c>
      <c r="H45" s="466">
        <v>59982</v>
      </c>
      <c r="I45" s="465">
        <v>-106754</v>
      </c>
      <c r="J45" s="468">
        <v>-33254</v>
      </c>
    </row>
    <row r="46" spans="1:10" ht="15.2" customHeight="1" x14ac:dyDescent="0.2">
      <c r="A46" s="473" t="s">
        <v>304</v>
      </c>
      <c r="B46" s="467">
        <v>165524</v>
      </c>
      <c r="C46" s="465">
        <v>210279</v>
      </c>
      <c r="D46" s="466">
        <v>259509</v>
      </c>
      <c r="E46" s="465">
        <v>377245</v>
      </c>
      <c r="F46" s="466">
        <v>490821</v>
      </c>
      <c r="G46" s="465">
        <v>523604</v>
      </c>
      <c r="H46" s="466">
        <v>729613</v>
      </c>
      <c r="I46" s="465">
        <v>912058</v>
      </c>
      <c r="J46" s="468">
        <v>646868</v>
      </c>
    </row>
    <row r="47" spans="1:10" ht="15.2" customHeight="1" x14ac:dyDescent="0.2">
      <c r="A47" s="473" t="s">
        <v>305</v>
      </c>
      <c r="B47" s="467">
        <v>31405</v>
      </c>
      <c r="C47" s="465">
        <v>85473</v>
      </c>
      <c r="D47" s="466">
        <v>121814</v>
      </c>
      <c r="E47" s="465">
        <v>197427</v>
      </c>
      <c r="F47" s="466">
        <v>249922</v>
      </c>
      <c r="G47" s="465">
        <v>219404</v>
      </c>
      <c r="H47" s="466">
        <v>334254</v>
      </c>
      <c r="I47" s="465">
        <v>515268</v>
      </c>
      <c r="J47" s="468">
        <v>463999</v>
      </c>
    </row>
    <row r="48" spans="1:10" ht="15.2" customHeight="1" x14ac:dyDescent="0.2">
      <c r="A48" s="473" t="s">
        <v>306</v>
      </c>
      <c r="B48" s="467">
        <v>129822</v>
      </c>
      <c r="C48" s="465">
        <v>120866</v>
      </c>
      <c r="D48" s="466">
        <v>133936</v>
      </c>
      <c r="E48" s="465">
        <v>175362</v>
      </c>
      <c r="F48" s="466">
        <v>232138</v>
      </c>
      <c r="G48" s="465">
        <v>294282</v>
      </c>
      <c r="H48" s="466">
        <v>366499</v>
      </c>
      <c r="I48" s="465">
        <v>381777</v>
      </c>
      <c r="J48" s="468">
        <v>178580</v>
      </c>
    </row>
    <row r="49" spans="1:10" ht="15.2" customHeight="1" x14ac:dyDescent="0.2">
      <c r="A49" s="473" t="s">
        <v>307</v>
      </c>
      <c r="B49" s="467">
        <v>0</v>
      </c>
      <c r="C49" s="465">
        <v>0</v>
      </c>
      <c r="D49" s="466">
        <v>0</v>
      </c>
      <c r="E49" s="465">
        <v>0</v>
      </c>
      <c r="F49" s="466">
        <v>0</v>
      </c>
      <c r="G49" s="465">
        <v>0</v>
      </c>
      <c r="H49" s="466">
        <v>0</v>
      </c>
      <c r="I49" s="465">
        <v>624</v>
      </c>
      <c r="J49" s="468">
        <v>685</v>
      </c>
    </row>
    <row r="50" spans="1:10" ht="15.2" customHeight="1" x14ac:dyDescent="0.2">
      <c r="A50" s="473" t="s">
        <v>308</v>
      </c>
      <c r="B50" s="467">
        <v>4297</v>
      </c>
      <c r="C50" s="465">
        <v>3940</v>
      </c>
      <c r="D50" s="466">
        <v>3759</v>
      </c>
      <c r="E50" s="465">
        <v>4456</v>
      </c>
      <c r="F50" s="466">
        <v>8761</v>
      </c>
      <c r="G50" s="465">
        <v>9918</v>
      </c>
      <c r="H50" s="466">
        <v>28860</v>
      </c>
      <c r="I50" s="465">
        <v>14389</v>
      </c>
      <c r="J50" s="468">
        <v>3604</v>
      </c>
    </row>
    <row r="51" spans="1:10" ht="15.2" customHeight="1" x14ac:dyDescent="0.2">
      <c r="A51" s="473" t="s">
        <v>309</v>
      </c>
      <c r="B51" s="467">
        <v>219904</v>
      </c>
      <c r="C51" s="465">
        <v>242299</v>
      </c>
      <c r="D51" s="466">
        <v>261190</v>
      </c>
      <c r="E51" s="465">
        <v>312549</v>
      </c>
      <c r="F51" s="466">
        <v>357076</v>
      </c>
      <c r="G51" s="465">
        <v>503044</v>
      </c>
      <c r="H51" s="466">
        <v>669631</v>
      </c>
      <c r="I51" s="465">
        <v>1018812</v>
      </c>
      <c r="J51" s="468">
        <v>680122</v>
      </c>
    </row>
    <row r="52" spans="1:10" ht="15.2" customHeight="1" x14ac:dyDescent="0.2">
      <c r="A52" s="473" t="s">
        <v>310</v>
      </c>
      <c r="B52" s="467">
        <v>179697</v>
      </c>
      <c r="C52" s="465">
        <v>192470</v>
      </c>
      <c r="D52" s="466">
        <v>204207</v>
      </c>
      <c r="E52" s="465">
        <v>225789</v>
      </c>
      <c r="F52" s="466">
        <v>261779</v>
      </c>
      <c r="G52" s="465">
        <v>416809</v>
      </c>
      <c r="H52" s="466">
        <v>553128</v>
      </c>
      <c r="I52" s="465">
        <v>830206</v>
      </c>
      <c r="J52" s="468">
        <v>522672</v>
      </c>
    </row>
    <row r="53" spans="1:10" ht="15.2" customHeight="1" x14ac:dyDescent="0.2">
      <c r="A53" s="473" t="s">
        <v>311</v>
      </c>
      <c r="B53" s="467">
        <v>40207</v>
      </c>
      <c r="C53" s="465">
        <v>49829</v>
      </c>
      <c r="D53" s="466">
        <v>56983</v>
      </c>
      <c r="E53" s="465">
        <v>86760</v>
      </c>
      <c r="F53" s="466">
        <v>95297</v>
      </c>
      <c r="G53" s="465">
        <v>86235</v>
      </c>
      <c r="H53" s="466">
        <v>116503</v>
      </c>
      <c r="I53" s="465">
        <v>188606</v>
      </c>
      <c r="J53" s="468">
        <v>157450</v>
      </c>
    </row>
    <row r="54" spans="1:10" ht="15.2" customHeight="1" x14ac:dyDescent="0.2">
      <c r="A54" s="473" t="s">
        <v>312</v>
      </c>
      <c r="B54" s="467">
        <v>1128514</v>
      </c>
      <c r="C54" s="465">
        <v>1271238</v>
      </c>
      <c r="D54" s="466">
        <v>1576344</v>
      </c>
      <c r="E54" s="465">
        <v>1810011</v>
      </c>
      <c r="F54" s="466">
        <v>1878451</v>
      </c>
      <c r="G54" s="465">
        <v>2074745</v>
      </c>
      <c r="H54" s="466">
        <v>2156565</v>
      </c>
      <c r="I54" s="465">
        <v>2135497</v>
      </c>
      <c r="J54" s="468">
        <v>1891519</v>
      </c>
    </row>
    <row r="55" spans="1:10" ht="15.2" customHeight="1" x14ac:dyDescent="0.2">
      <c r="A55" s="473" t="s">
        <v>313</v>
      </c>
      <c r="B55" s="467">
        <v>1088147</v>
      </c>
      <c r="C55" s="465">
        <v>1231342</v>
      </c>
      <c r="D55" s="466">
        <v>1518029</v>
      </c>
      <c r="E55" s="465">
        <v>1802154</v>
      </c>
      <c r="F55" s="466">
        <v>1849285</v>
      </c>
      <c r="G55" s="465">
        <v>2066488</v>
      </c>
      <c r="H55" s="466">
        <v>2135906</v>
      </c>
      <c r="I55" s="465">
        <v>2102673</v>
      </c>
      <c r="J55" s="468">
        <v>1896441</v>
      </c>
    </row>
    <row r="56" spans="1:10" ht="15.2" customHeight="1" x14ac:dyDescent="0.2">
      <c r="A56" s="473" t="s">
        <v>314</v>
      </c>
      <c r="B56" s="467">
        <v>40367</v>
      </c>
      <c r="C56" s="465">
        <v>39896</v>
      </c>
      <c r="D56" s="466">
        <v>58315</v>
      </c>
      <c r="E56" s="465">
        <v>7857</v>
      </c>
      <c r="F56" s="466">
        <v>29166</v>
      </c>
      <c r="G56" s="465">
        <v>8257</v>
      </c>
      <c r="H56" s="466">
        <v>20659</v>
      </c>
      <c r="I56" s="465">
        <v>32824</v>
      </c>
      <c r="J56" s="468">
        <v>-4922</v>
      </c>
    </row>
    <row r="57" spans="1:10" ht="15.2" customHeight="1" x14ac:dyDescent="0.2">
      <c r="A57" s="473" t="s">
        <v>315</v>
      </c>
      <c r="B57" s="467">
        <v>1490108</v>
      </c>
      <c r="C57" s="465">
        <v>1770980</v>
      </c>
      <c r="D57" s="466">
        <v>2031188</v>
      </c>
      <c r="E57" s="465">
        <v>2796819</v>
      </c>
      <c r="F57" s="466">
        <v>3296395</v>
      </c>
      <c r="G57" s="465">
        <v>3094593</v>
      </c>
      <c r="H57" s="466">
        <v>3405263</v>
      </c>
      <c r="I57" s="465">
        <v>2946484</v>
      </c>
      <c r="J57" s="468">
        <v>2603957</v>
      </c>
    </row>
    <row r="58" spans="1:10" ht="15.2" customHeight="1" x14ac:dyDescent="0.2">
      <c r="A58" s="473" t="s">
        <v>316</v>
      </c>
      <c r="B58" s="467">
        <v>43036</v>
      </c>
      <c r="C58" s="465">
        <v>-260718</v>
      </c>
      <c r="D58" s="466">
        <v>-169718</v>
      </c>
      <c r="E58" s="465">
        <v>-619459</v>
      </c>
      <c r="F58" s="466">
        <v>-64313</v>
      </c>
      <c r="G58" s="465">
        <v>132760</v>
      </c>
      <c r="H58" s="466">
        <v>202788</v>
      </c>
      <c r="I58" s="465">
        <v>-194926</v>
      </c>
      <c r="J58" s="468">
        <v>-290088</v>
      </c>
    </row>
    <row r="59" spans="1:10" ht="15.2" customHeight="1" x14ac:dyDescent="0.2">
      <c r="A59" s="473" t="s">
        <v>317</v>
      </c>
      <c r="B59" s="467">
        <v>254212</v>
      </c>
      <c r="C59" s="465">
        <v>13402</v>
      </c>
      <c r="D59" s="466">
        <v>179425</v>
      </c>
      <c r="E59" s="465">
        <v>-411395</v>
      </c>
      <c r="F59" s="466">
        <v>117990</v>
      </c>
      <c r="G59" s="465">
        <v>250972</v>
      </c>
      <c r="H59" s="466">
        <v>431041</v>
      </c>
      <c r="I59" s="465">
        <v>245137</v>
      </c>
      <c r="J59" s="468">
        <v>12430</v>
      </c>
    </row>
    <row r="60" spans="1:10" ht="15.2" customHeight="1" x14ac:dyDescent="0.2">
      <c r="A60" s="473" t="s">
        <v>318</v>
      </c>
      <c r="B60" s="467">
        <v>258715</v>
      </c>
      <c r="C60" s="465">
        <v>10301</v>
      </c>
      <c r="D60" s="466">
        <v>160856</v>
      </c>
      <c r="E60" s="465">
        <v>215197</v>
      </c>
      <c r="F60" s="466">
        <v>95288</v>
      </c>
      <c r="G60" s="465">
        <v>208348</v>
      </c>
      <c r="H60" s="466">
        <v>293031</v>
      </c>
      <c r="I60" s="465">
        <v>267879</v>
      </c>
      <c r="J60" s="468">
        <v>5100</v>
      </c>
    </row>
    <row r="61" spans="1:10" ht="15.2" customHeight="1" x14ac:dyDescent="0.2">
      <c r="A61" s="473" t="s">
        <v>319</v>
      </c>
      <c r="B61" s="467">
        <v>-8221</v>
      </c>
      <c r="C61" s="465">
        <v>1112</v>
      </c>
      <c r="D61" s="466">
        <v>17312</v>
      </c>
      <c r="E61" s="465">
        <v>-629400</v>
      </c>
      <c r="F61" s="466">
        <v>18374</v>
      </c>
      <c r="G61" s="465">
        <v>41479</v>
      </c>
      <c r="H61" s="466">
        <v>131724</v>
      </c>
      <c r="I61" s="465">
        <v>-22742</v>
      </c>
      <c r="J61" s="468">
        <v>7330</v>
      </c>
    </row>
    <row r="62" spans="1:10" ht="15.2" customHeight="1" x14ac:dyDescent="0.2">
      <c r="A62" s="473" t="s">
        <v>320</v>
      </c>
      <c r="B62" s="467">
        <v>3718</v>
      </c>
      <c r="C62" s="465">
        <v>1989</v>
      </c>
      <c r="D62" s="466">
        <v>1257</v>
      </c>
      <c r="E62" s="465">
        <v>2808</v>
      </c>
      <c r="F62" s="466">
        <v>4328</v>
      </c>
      <c r="G62" s="465">
        <v>1145</v>
      </c>
      <c r="H62" s="466">
        <v>6286</v>
      </c>
      <c r="I62" s="465">
        <v>0</v>
      </c>
      <c r="J62" s="468">
        <v>0</v>
      </c>
    </row>
    <row r="63" spans="1:10" ht="15.2" customHeight="1" x14ac:dyDescent="0.2">
      <c r="A63" s="473" t="s">
        <v>321</v>
      </c>
      <c r="B63" s="467">
        <v>211176</v>
      </c>
      <c r="C63" s="465">
        <v>274120</v>
      </c>
      <c r="D63" s="466">
        <v>349143</v>
      </c>
      <c r="E63" s="465">
        <v>208064</v>
      </c>
      <c r="F63" s="466">
        <v>182303</v>
      </c>
      <c r="G63" s="465">
        <v>118212</v>
      </c>
      <c r="H63" s="466">
        <v>228253</v>
      </c>
      <c r="I63" s="465">
        <v>440063</v>
      </c>
      <c r="J63" s="468">
        <v>302518</v>
      </c>
    </row>
    <row r="64" spans="1:10" ht="15.2" customHeight="1" x14ac:dyDescent="0.2">
      <c r="A64" s="473" t="s">
        <v>318</v>
      </c>
      <c r="B64" s="467">
        <v>10212</v>
      </c>
      <c r="C64" s="465">
        <v>65448</v>
      </c>
      <c r="D64" s="466">
        <v>183893</v>
      </c>
      <c r="E64" s="465">
        <v>24010</v>
      </c>
      <c r="F64" s="466">
        <v>74287</v>
      </c>
      <c r="G64" s="465">
        <v>18804</v>
      </c>
      <c r="H64" s="466">
        <v>7856</v>
      </c>
      <c r="I64" s="465">
        <v>69869</v>
      </c>
      <c r="J64" s="468">
        <v>68027</v>
      </c>
    </row>
    <row r="65" spans="1:10" ht="15.2" customHeight="1" x14ac:dyDescent="0.2">
      <c r="A65" s="473" t="s">
        <v>319</v>
      </c>
      <c r="B65" s="467">
        <v>197316</v>
      </c>
      <c r="C65" s="465">
        <v>203789</v>
      </c>
      <c r="D65" s="466">
        <v>165178</v>
      </c>
      <c r="E65" s="465">
        <v>181446</v>
      </c>
      <c r="F65" s="466">
        <v>107647</v>
      </c>
      <c r="G65" s="465">
        <v>100195</v>
      </c>
      <c r="H65" s="466">
        <v>199684</v>
      </c>
      <c r="I65" s="465">
        <v>370194</v>
      </c>
      <c r="J65" s="468">
        <v>234491</v>
      </c>
    </row>
    <row r="66" spans="1:10" ht="15.2" customHeight="1" x14ac:dyDescent="0.2">
      <c r="A66" s="473" t="s">
        <v>320</v>
      </c>
      <c r="B66" s="467">
        <v>3648</v>
      </c>
      <c r="C66" s="465">
        <v>4883</v>
      </c>
      <c r="D66" s="466">
        <v>72</v>
      </c>
      <c r="E66" s="465">
        <v>2608</v>
      </c>
      <c r="F66" s="466">
        <v>369</v>
      </c>
      <c r="G66" s="465">
        <v>-787</v>
      </c>
      <c r="H66" s="466">
        <v>20713</v>
      </c>
      <c r="I66" s="465">
        <v>0</v>
      </c>
      <c r="J66" s="468">
        <v>0</v>
      </c>
    </row>
    <row r="67" spans="1:10" ht="15.2" customHeight="1" x14ac:dyDescent="0.2">
      <c r="A67" s="473" t="s">
        <v>322</v>
      </c>
      <c r="B67" s="467">
        <v>-164364</v>
      </c>
      <c r="C67" s="465">
        <v>-94134</v>
      </c>
      <c r="D67" s="466">
        <v>-179281</v>
      </c>
      <c r="E67" s="465">
        <v>-58282</v>
      </c>
      <c r="F67" s="466">
        <v>-105226</v>
      </c>
      <c r="G67" s="465">
        <v>-88295</v>
      </c>
      <c r="H67" s="466">
        <v>-172635</v>
      </c>
      <c r="I67" s="465">
        <v>-123926</v>
      </c>
      <c r="J67" s="468">
        <v>-167313</v>
      </c>
    </row>
    <row r="68" spans="1:10" ht="15.2" customHeight="1" x14ac:dyDescent="0.2">
      <c r="A68" s="473" t="s">
        <v>323</v>
      </c>
      <c r="B68" s="467">
        <v>0</v>
      </c>
      <c r="C68" s="465">
        <v>0</v>
      </c>
      <c r="D68" s="466">
        <v>0</v>
      </c>
      <c r="E68" s="465">
        <v>0</v>
      </c>
      <c r="F68" s="466">
        <v>0</v>
      </c>
      <c r="G68" s="465">
        <v>0</v>
      </c>
      <c r="H68" s="466">
        <v>0</v>
      </c>
      <c r="I68" s="465">
        <v>4233</v>
      </c>
      <c r="J68" s="468">
        <v>-16811</v>
      </c>
    </row>
    <row r="69" spans="1:10" ht="15.2" customHeight="1" x14ac:dyDescent="0.2">
      <c r="A69" s="473" t="s">
        <v>324</v>
      </c>
      <c r="B69" s="467">
        <v>4567</v>
      </c>
      <c r="C69" s="465">
        <v>25498</v>
      </c>
      <c r="D69" s="466">
        <v>11256</v>
      </c>
      <c r="E69" s="465">
        <v>63737</v>
      </c>
      <c r="F69" s="466">
        <v>49590</v>
      </c>
      <c r="G69" s="465">
        <v>40991</v>
      </c>
      <c r="H69" s="466">
        <v>35501</v>
      </c>
      <c r="I69" s="465">
        <v>10613</v>
      </c>
      <c r="J69" s="468">
        <v>12205</v>
      </c>
    </row>
    <row r="70" spans="1:10" ht="15.2" customHeight="1" x14ac:dyDescent="0.2">
      <c r="A70" s="473" t="s">
        <v>325</v>
      </c>
      <c r="B70" s="467">
        <v>2133</v>
      </c>
      <c r="C70" s="465">
        <v>1156</v>
      </c>
      <c r="D70" s="466">
        <v>-166</v>
      </c>
      <c r="E70" s="465">
        <v>-2791</v>
      </c>
      <c r="F70" s="466">
        <v>4514</v>
      </c>
      <c r="G70" s="465">
        <v>-780</v>
      </c>
      <c r="H70" s="466">
        <v>-9675</v>
      </c>
      <c r="I70" s="465">
        <v>-4542</v>
      </c>
      <c r="J70" s="468">
        <v>5073</v>
      </c>
    </row>
    <row r="71" spans="1:10" ht="15.2" customHeight="1" x14ac:dyDescent="0.2">
      <c r="A71" s="473" t="s">
        <v>326</v>
      </c>
      <c r="B71" s="467">
        <v>19491</v>
      </c>
      <c r="C71" s="465">
        <v>10053</v>
      </c>
      <c r="D71" s="466">
        <v>15177</v>
      </c>
      <c r="E71" s="465">
        <v>9736</v>
      </c>
      <c r="F71" s="466">
        <v>12240</v>
      </c>
      <c r="G71" s="465">
        <v>22672</v>
      </c>
      <c r="H71" s="466">
        <v>76469</v>
      </c>
      <c r="I71" s="465">
        <v>93213</v>
      </c>
      <c r="J71" s="468">
        <v>177211</v>
      </c>
    </row>
    <row r="72" spans="1:10" ht="15.2" customHeight="1" x14ac:dyDescent="0.2">
      <c r="A72" s="473" t="s">
        <v>327</v>
      </c>
      <c r="B72" s="467">
        <v>-151573</v>
      </c>
      <c r="C72" s="465">
        <v>-110735</v>
      </c>
      <c r="D72" s="466">
        <v>-175194</v>
      </c>
      <c r="E72" s="465">
        <v>-109492</v>
      </c>
      <c r="F72" s="466">
        <v>-147090</v>
      </c>
      <c r="G72" s="465">
        <v>-105834</v>
      </c>
      <c r="H72" s="466">
        <v>-121992</v>
      </c>
      <c r="I72" s="465">
        <v>-41017</v>
      </c>
      <c r="J72" s="468">
        <v>9431</v>
      </c>
    </row>
    <row r="73" spans="1:10" ht="15.2" customHeight="1" x14ac:dyDescent="0.2">
      <c r="A73" s="473" t="s">
        <v>328</v>
      </c>
      <c r="B73" s="467">
        <v>356989</v>
      </c>
      <c r="C73" s="465">
        <v>436934</v>
      </c>
      <c r="D73" s="466">
        <v>519661</v>
      </c>
      <c r="E73" s="465">
        <v>762345</v>
      </c>
      <c r="F73" s="466">
        <v>887589</v>
      </c>
      <c r="G73" s="465">
        <v>787349</v>
      </c>
      <c r="H73" s="466">
        <v>759346</v>
      </c>
      <c r="I73" s="465">
        <v>551373</v>
      </c>
      <c r="J73" s="468">
        <v>451952</v>
      </c>
    </row>
    <row r="74" spans="1:10" ht="15.2" customHeight="1" x14ac:dyDescent="0.2">
      <c r="A74" s="473" t="s">
        <v>329</v>
      </c>
      <c r="B74" s="467">
        <v>1011791</v>
      </c>
      <c r="C74" s="465">
        <v>979194</v>
      </c>
      <c r="D74" s="466">
        <v>1162528</v>
      </c>
      <c r="E74" s="465">
        <v>1356733</v>
      </c>
      <c r="F74" s="466">
        <v>2239267</v>
      </c>
      <c r="G74" s="465">
        <v>2351709</v>
      </c>
      <c r="H74" s="466">
        <v>2676070</v>
      </c>
      <c r="I74" s="465">
        <v>2076259</v>
      </c>
      <c r="J74" s="468">
        <v>1694604</v>
      </c>
    </row>
    <row r="75" spans="1:10" ht="15.2" customHeight="1" x14ac:dyDescent="0.2">
      <c r="A75" s="473" t="s">
        <v>330</v>
      </c>
      <c r="B75" s="467">
        <v>319234</v>
      </c>
      <c r="C75" s="465">
        <v>344445</v>
      </c>
      <c r="D75" s="466">
        <v>405661</v>
      </c>
      <c r="E75" s="465">
        <v>711344</v>
      </c>
      <c r="F75" s="466">
        <v>1168782</v>
      </c>
      <c r="G75" s="465">
        <v>1022815</v>
      </c>
      <c r="H75" s="466">
        <v>2361176</v>
      </c>
      <c r="I75" s="465">
        <v>971547</v>
      </c>
      <c r="J75" s="468">
        <v>1096025</v>
      </c>
    </row>
    <row r="76" spans="1:10" ht="15.2" customHeight="1" x14ac:dyDescent="0.2">
      <c r="A76" s="473" t="s">
        <v>331</v>
      </c>
      <c r="B76" s="467">
        <v>692557</v>
      </c>
      <c r="C76" s="465">
        <v>634749</v>
      </c>
      <c r="D76" s="466">
        <v>756867</v>
      </c>
      <c r="E76" s="465">
        <v>645389</v>
      </c>
      <c r="F76" s="466">
        <v>1070485</v>
      </c>
      <c r="G76" s="465">
        <v>1328894</v>
      </c>
      <c r="H76" s="466">
        <v>314894</v>
      </c>
      <c r="I76" s="465">
        <v>1104712</v>
      </c>
      <c r="J76" s="468">
        <v>598579</v>
      </c>
    </row>
    <row r="77" spans="1:10" ht="15.2" customHeight="1" x14ac:dyDescent="0.2">
      <c r="A77" s="473" t="s">
        <v>332</v>
      </c>
      <c r="B77" s="467"/>
      <c r="C77" s="465"/>
      <c r="D77" s="466"/>
      <c r="E77" s="465"/>
      <c r="F77" s="466"/>
      <c r="G77" s="465"/>
      <c r="H77" s="466"/>
      <c r="I77" s="465"/>
      <c r="J77" s="468"/>
    </row>
    <row r="78" spans="1:10" ht="15.2" customHeight="1" x14ac:dyDescent="0.2">
      <c r="A78" s="473" t="s">
        <v>333</v>
      </c>
      <c r="B78" s="467">
        <v>1544488</v>
      </c>
      <c r="C78" s="465">
        <v>1803000</v>
      </c>
      <c r="D78" s="466">
        <v>2032869</v>
      </c>
      <c r="E78" s="465">
        <v>2732123</v>
      </c>
      <c r="F78" s="466">
        <v>3162650</v>
      </c>
      <c r="G78" s="465">
        <v>3074033</v>
      </c>
      <c r="H78" s="466">
        <v>3345281</v>
      </c>
      <c r="I78" s="465">
        <v>3053238</v>
      </c>
      <c r="J78" s="468">
        <v>2637211</v>
      </c>
    </row>
    <row r="79" spans="1:10" ht="15.2" customHeight="1" x14ac:dyDescent="0.2">
      <c r="A79" s="473" t="s">
        <v>334</v>
      </c>
      <c r="B79" s="467">
        <v>1368780</v>
      </c>
      <c r="C79" s="465">
        <v>1416128</v>
      </c>
      <c r="D79" s="466">
        <v>1682189</v>
      </c>
      <c r="E79" s="465">
        <v>2119078</v>
      </c>
      <c r="F79" s="466">
        <v>3126856</v>
      </c>
      <c r="G79" s="465">
        <v>3139058</v>
      </c>
      <c r="H79" s="466">
        <v>3435416</v>
      </c>
      <c r="I79" s="465">
        <v>2627632</v>
      </c>
      <c r="J79" s="468">
        <v>2146556</v>
      </c>
    </row>
    <row r="80" spans="1:10" ht="15.2" customHeight="1" x14ac:dyDescent="0.2">
      <c r="A80" s="473" t="s">
        <v>335</v>
      </c>
      <c r="B80" s="467"/>
      <c r="C80" s="465"/>
      <c r="D80" s="466"/>
      <c r="E80" s="465"/>
      <c r="F80" s="466"/>
      <c r="G80" s="465"/>
      <c r="H80" s="466"/>
      <c r="I80" s="465"/>
      <c r="J80" s="468"/>
    </row>
    <row r="81" spans="1:10" ht="15.2" customHeight="1" x14ac:dyDescent="0.2">
      <c r="A81" s="473" t="s">
        <v>336</v>
      </c>
      <c r="B81" s="467">
        <v>15212402</v>
      </c>
      <c r="C81" s="465">
        <v>16093417</v>
      </c>
      <c r="D81" s="466">
        <v>19826116</v>
      </c>
      <c r="E81" s="465">
        <v>23661777</v>
      </c>
      <c r="F81" s="466">
        <v>25429532</v>
      </c>
      <c r="G81" s="465">
        <v>28125375</v>
      </c>
      <c r="H81" s="466">
        <v>30681243</v>
      </c>
      <c r="I81" s="465">
        <v>34220763</v>
      </c>
      <c r="J81" s="468">
        <v>31308035</v>
      </c>
    </row>
    <row r="82" spans="1:10" ht="15.2" customHeight="1" x14ac:dyDescent="0.2">
      <c r="A82" s="473" t="s">
        <v>337</v>
      </c>
      <c r="B82" s="467">
        <v>1092595</v>
      </c>
      <c r="C82" s="465">
        <v>993388</v>
      </c>
      <c r="D82" s="466">
        <v>1494152</v>
      </c>
      <c r="E82" s="465">
        <v>2283426</v>
      </c>
      <c r="F82" s="466">
        <v>2117991</v>
      </c>
      <c r="G82" s="465">
        <v>3082827</v>
      </c>
      <c r="H82" s="466">
        <v>3134599</v>
      </c>
      <c r="I82" s="465">
        <v>2878480</v>
      </c>
      <c r="J82" s="468">
        <v>2357771</v>
      </c>
    </row>
    <row r="83" spans="1:10" ht="15.2" customHeight="1" x14ac:dyDescent="0.2">
      <c r="A83" s="473" t="s">
        <v>338</v>
      </c>
      <c r="B83" s="467">
        <v>11654545</v>
      </c>
      <c r="C83" s="465">
        <v>12491163</v>
      </c>
      <c r="D83" s="466">
        <v>14435046</v>
      </c>
      <c r="E83" s="465">
        <v>16604187</v>
      </c>
      <c r="F83" s="466">
        <v>18107357</v>
      </c>
      <c r="G83" s="465">
        <v>19388433</v>
      </c>
      <c r="H83" s="466">
        <v>20174039</v>
      </c>
      <c r="I83" s="465">
        <v>21940110</v>
      </c>
      <c r="J83" s="468">
        <v>19391620</v>
      </c>
    </row>
    <row r="84" spans="1:10" ht="15.2" customHeight="1" x14ac:dyDescent="0.2">
      <c r="A84" s="473" t="s">
        <v>339</v>
      </c>
      <c r="B84" s="467">
        <v>11654545</v>
      </c>
      <c r="C84" s="465">
        <v>12491163</v>
      </c>
      <c r="D84" s="466">
        <v>14435046</v>
      </c>
      <c r="E84" s="465">
        <v>16604187</v>
      </c>
      <c r="F84" s="466">
        <v>18107357</v>
      </c>
      <c r="G84" s="465">
        <v>19388433</v>
      </c>
      <c r="H84" s="466">
        <v>20174039</v>
      </c>
      <c r="I84" s="465">
        <v>21277144</v>
      </c>
      <c r="J84" s="468">
        <v>17784042</v>
      </c>
    </row>
    <row r="85" spans="1:10" ht="15.2" customHeight="1" x14ac:dyDescent="0.2">
      <c r="A85" s="473" t="s">
        <v>340</v>
      </c>
      <c r="B85" s="467">
        <v>17552131</v>
      </c>
      <c r="C85" s="465">
        <v>18998622</v>
      </c>
      <c r="D85" s="466">
        <v>22326310</v>
      </c>
      <c r="E85" s="465">
        <v>26148316</v>
      </c>
      <c r="F85" s="466">
        <v>28793050</v>
      </c>
      <c r="G85" s="465">
        <v>31066325</v>
      </c>
      <c r="H85" s="466">
        <v>32641809</v>
      </c>
      <c r="I85" s="465">
        <v>35340339</v>
      </c>
      <c r="J85" s="468">
        <v>30410780</v>
      </c>
    </row>
    <row r="86" spans="1:10" ht="15.2" customHeight="1" x14ac:dyDescent="0.2">
      <c r="A86" s="473" t="s">
        <v>341</v>
      </c>
      <c r="B86" s="467">
        <v>5897586</v>
      </c>
      <c r="C86" s="465">
        <v>6507459</v>
      </c>
      <c r="D86" s="466">
        <v>7891264</v>
      </c>
      <c r="E86" s="465">
        <v>9544129</v>
      </c>
      <c r="F86" s="466">
        <v>10685693</v>
      </c>
      <c r="G86" s="465">
        <v>11677892</v>
      </c>
      <c r="H86" s="466">
        <v>12467770</v>
      </c>
      <c r="I86" s="465">
        <v>14063195</v>
      </c>
      <c r="J86" s="468">
        <v>12626738</v>
      </c>
    </row>
    <row r="87" spans="1:10" ht="15.2" customHeight="1" x14ac:dyDescent="0.2">
      <c r="A87" s="473" t="s">
        <v>342</v>
      </c>
      <c r="B87" s="467">
        <v>0</v>
      </c>
      <c r="C87" s="465">
        <v>0</v>
      </c>
      <c r="D87" s="466">
        <v>0</v>
      </c>
      <c r="E87" s="465">
        <v>0</v>
      </c>
      <c r="F87" s="466">
        <v>0</v>
      </c>
      <c r="G87" s="465">
        <v>0</v>
      </c>
      <c r="H87" s="466">
        <v>0</v>
      </c>
      <c r="I87" s="465">
        <v>662966</v>
      </c>
      <c r="J87" s="468">
        <v>1607578</v>
      </c>
    </row>
    <row r="88" spans="1:10" ht="15.2" customHeight="1" x14ac:dyDescent="0.2">
      <c r="A88" s="473" t="s">
        <v>343</v>
      </c>
      <c r="B88" s="467">
        <v>0</v>
      </c>
      <c r="C88" s="465">
        <v>0</v>
      </c>
      <c r="D88" s="466">
        <v>0</v>
      </c>
      <c r="E88" s="465">
        <v>0</v>
      </c>
      <c r="F88" s="466">
        <v>0</v>
      </c>
      <c r="G88" s="465">
        <v>0</v>
      </c>
      <c r="H88" s="466">
        <v>0</v>
      </c>
      <c r="I88" s="465">
        <v>774172</v>
      </c>
      <c r="J88" s="468">
        <v>3027430</v>
      </c>
    </row>
    <row r="89" spans="1:10" ht="15.2" customHeight="1" x14ac:dyDescent="0.2">
      <c r="A89" s="473" t="s">
        <v>341</v>
      </c>
      <c r="B89" s="467">
        <v>0</v>
      </c>
      <c r="C89" s="465">
        <v>0</v>
      </c>
      <c r="D89" s="466">
        <v>0</v>
      </c>
      <c r="E89" s="465">
        <v>0</v>
      </c>
      <c r="F89" s="466">
        <v>0</v>
      </c>
      <c r="G89" s="465">
        <v>0</v>
      </c>
      <c r="H89" s="466">
        <v>0</v>
      </c>
      <c r="I89" s="465">
        <v>111206</v>
      </c>
      <c r="J89" s="468">
        <v>1419852</v>
      </c>
    </row>
    <row r="90" spans="1:10" ht="15.2" customHeight="1" x14ac:dyDescent="0.2">
      <c r="A90" s="473" t="s">
        <v>344</v>
      </c>
      <c r="B90" s="467">
        <v>2465262</v>
      </c>
      <c r="C90" s="465">
        <v>2608866</v>
      </c>
      <c r="D90" s="466">
        <v>3896918</v>
      </c>
      <c r="E90" s="465">
        <v>4774164</v>
      </c>
      <c r="F90" s="466">
        <v>5204184</v>
      </c>
      <c r="G90" s="465">
        <v>5654115</v>
      </c>
      <c r="H90" s="466">
        <v>7372605</v>
      </c>
      <c r="I90" s="465">
        <v>9402173</v>
      </c>
      <c r="J90" s="468">
        <v>9558644</v>
      </c>
    </row>
    <row r="91" spans="1:10" ht="15.2" customHeight="1" x14ac:dyDescent="0.2">
      <c r="A91" s="473" t="s">
        <v>345</v>
      </c>
      <c r="B91" s="467">
        <v>2151462</v>
      </c>
      <c r="C91" s="465">
        <v>2299574</v>
      </c>
      <c r="D91" s="466">
        <v>3530187</v>
      </c>
      <c r="E91" s="465">
        <v>4361221</v>
      </c>
      <c r="F91" s="466">
        <v>4724692</v>
      </c>
      <c r="G91" s="465">
        <v>5106619</v>
      </c>
      <c r="H91" s="466">
        <v>6587246</v>
      </c>
      <c r="I91" s="465">
        <v>8853224</v>
      </c>
      <c r="J91" s="468">
        <v>8925387</v>
      </c>
    </row>
    <row r="92" spans="1:10" ht="15.2" customHeight="1" x14ac:dyDescent="0.2">
      <c r="A92" s="473" t="s">
        <v>346</v>
      </c>
      <c r="B92" s="467">
        <v>313800</v>
      </c>
      <c r="C92" s="465">
        <v>309292</v>
      </c>
      <c r="D92" s="466">
        <v>366731</v>
      </c>
      <c r="E92" s="465">
        <v>412943</v>
      </c>
      <c r="F92" s="466">
        <v>479492</v>
      </c>
      <c r="G92" s="465">
        <v>547496</v>
      </c>
      <c r="H92" s="466">
        <v>785359</v>
      </c>
      <c r="I92" s="465">
        <v>548949</v>
      </c>
      <c r="J92" s="468">
        <v>633257</v>
      </c>
    </row>
    <row r="93" spans="1:10" ht="15.2" customHeight="1" x14ac:dyDescent="0.2">
      <c r="A93" s="473" t="s">
        <v>347</v>
      </c>
      <c r="B93" s="467">
        <v>0</v>
      </c>
      <c r="C93" s="465">
        <v>0</v>
      </c>
      <c r="D93" s="466">
        <v>0</v>
      </c>
      <c r="E93" s="465">
        <v>0</v>
      </c>
      <c r="F93" s="466">
        <v>0</v>
      </c>
      <c r="G93" s="465">
        <v>0</v>
      </c>
      <c r="H93" s="466">
        <v>0</v>
      </c>
      <c r="I93" s="465">
        <v>0</v>
      </c>
      <c r="J93" s="468">
        <v>0</v>
      </c>
    </row>
    <row r="94" spans="1:10" ht="15.2" customHeight="1" x14ac:dyDescent="0.2">
      <c r="A94" s="473" t="s">
        <v>348</v>
      </c>
      <c r="B94" s="467">
        <v>9120838</v>
      </c>
      <c r="C94" s="465">
        <v>9567173</v>
      </c>
      <c r="D94" s="466">
        <v>12179062</v>
      </c>
      <c r="E94" s="465">
        <v>14025338</v>
      </c>
      <c r="F94" s="466">
        <v>15664601</v>
      </c>
      <c r="G94" s="465">
        <v>17302990</v>
      </c>
      <c r="H94" s="466">
        <v>17672887</v>
      </c>
      <c r="I94" s="465">
        <v>18843523</v>
      </c>
      <c r="J94" s="468">
        <v>17093493</v>
      </c>
    </row>
    <row r="95" spans="1:10" ht="15.2" customHeight="1" x14ac:dyDescent="0.2">
      <c r="A95" s="473" t="s">
        <v>349</v>
      </c>
      <c r="B95" s="467">
        <v>0</v>
      </c>
      <c r="C95" s="465">
        <v>0</v>
      </c>
      <c r="D95" s="466">
        <v>0</v>
      </c>
      <c r="E95" s="465">
        <v>0</v>
      </c>
      <c r="F95" s="466">
        <v>0</v>
      </c>
      <c r="G95" s="465">
        <v>0</v>
      </c>
      <c r="H95" s="466">
        <v>0</v>
      </c>
      <c r="I95" s="465">
        <v>14688</v>
      </c>
      <c r="J95" s="468">
        <v>207364</v>
      </c>
    </row>
    <row r="96" spans="1:10" ht="15.2" customHeight="1" x14ac:dyDescent="0.2">
      <c r="A96" s="473" t="s">
        <v>350</v>
      </c>
      <c r="B96" s="467">
        <v>4037193</v>
      </c>
      <c r="C96" s="465">
        <v>4008577</v>
      </c>
      <c r="D96" s="466">
        <v>4865758</v>
      </c>
      <c r="E96" s="465">
        <v>5722521</v>
      </c>
      <c r="F96" s="466">
        <v>6332437</v>
      </c>
      <c r="G96" s="465">
        <v>6767216</v>
      </c>
      <c r="H96" s="466">
        <v>6888402</v>
      </c>
      <c r="I96" s="465">
        <v>7051211</v>
      </c>
      <c r="J96" s="468">
        <v>5673300</v>
      </c>
    </row>
    <row r="97" spans="1:10" ht="15.2" customHeight="1" x14ac:dyDescent="0.2">
      <c r="A97" s="473" t="s">
        <v>351</v>
      </c>
      <c r="B97" s="467">
        <v>3061638</v>
      </c>
      <c r="C97" s="465">
        <v>2691445</v>
      </c>
      <c r="D97" s="466">
        <v>3289947</v>
      </c>
      <c r="E97" s="465">
        <v>3154265</v>
      </c>
      <c r="F97" s="466">
        <v>4011708</v>
      </c>
      <c r="G97" s="465">
        <v>4062217</v>
      </c>
      <c r="H97" s="466">
        <v>4188969</v>
      </c>
      <c r="I97" s="465">
        <v>3901173</v>
      </c>
      <c r="J97" s="468">
        <v>3470510</v>
      </c>
    </row>
    <row r="98" spans="1:10" ht="15.2" customHeight="1" x14ac:dyDescent="0.2">
      <c r="A98" s="473" t="s">
        <v>352</v>
      </c>
      <c r="B98" s="467">
        <v>1383932</v>
      </c>
      <c r="C98" s="465">
        <v>1421166</v>
      </c>
      <c r="D98" s="466">
        <v>1604760</v>
      </c>
      <c r="E98" s="465">
        <v>1561825</v>
      </c>
      <c r="F98" s="466">
        <v>1858734</v>
      </c>
      <c r="G98" s="465">
        <v>1781274</v>
      </c>
      <c r="H98" s="466">
        <v>2123109</v>
      </c>
      <c r="I98" s="465">
        <v>2379553</v>
      </c>
      <c r="J98" s="468">
        <v>2285155</v>
      </c>
    </row>
    <row r="99" spans="1:10" ht="15.2" customHeight="1" x14ac:dyDescent="0.2">
      <c r="A99" s="473" t="s">
        <v>353</v>
      </c>
      <c r="B99" s="467">
        <v>1677706</v>
      </c>
      <c r="C99" s="465">
        <v>1270279</v>
      </c>
      <c r="D99" s="466">
        <v>1685187</v>
      </c>
      <c r="E99" s="465">
        <v>1592440</v>
      </c>
      <c r="F99" s="466">
        <v>2152974</v>
      </c>
      <c r="G99" s="465">
        <v>2280943</v>
      </c>
      <c r="H99" s="466">
        <v>2065860</v>
      </c>
      <c r="I99" s="465">
        <v>1521620</v>
      </c>
      <c r="J99" s="468">
        <v>1185355</v>
      </c>
    </row>
    <row r="100" spans="1:10" ht="15.2" customHeight="1" x14ac:dyDescent="0.2">
      <c r="A100" s="473" t="s">
        <v>354</v>
      </c>
      <c r="B100" s="467">
        <v>1092890</v>
      </c>
      <c r="C100" s="465">
        <v>1818624</v>
      </c>
      <c r="D100" s="466">
        <v>2608901</v>
      </c>
      <c r="E100" s="465">
        <v>3458544</v>
      </c>
      <c r="F100" s="466">
        <v>3507032</v>
      </c>
      <c r="G100" s="465">
        <v>4115169</v>
      </c>
      <c r="H100" s="466">
        <v>4627718</v>
      </c>
      <c r="I100" s="465">
        <v>5058016</v>
      </c>
      <c r="J100" s="468">
        <v>5115382</v>
      </c>
    </row>
    <row r="101" spans="1:10" ht="15.2" customHeight="1" x14ac:dyDescent="0.2">
      <c r="A101" s="473" t="s">
        <v>345</v>
      </c>
      <c r="B101" s="467">
        <v>939923</v>
      </c>
      <c r="C101" s="465">
        <v>1541535</v>
      </c>
      <c r="D101" s="466">
        <v>2292707</v>
      </c>
      <c r="E101" s="465">
        <v>2831017</v>
      </c>
      <c r="F101" s="466">
        <v>3159899</v>
      </c>
      <c r="G101" s="465">
        <v>3727988</v>
      </c>
      <c r="H101" s="466">
        <v>4089048</v>
      </c>
      <c r="I101" s="465">
        <v>4770042</v>
      </c>
      <c r="J101" s="468">
        <v>4854114</v>
      </c>
    </row>
    <row r="102" spans="1:10" ht="15.2" customHeight="1" x14ac:dyDescent="0.2">
      <c r="A102" s="473" t="s">
        <v>355</v>
      </c>
      <c r="B102" s="467">
        <v>120888</v>
      </c>
      <c r="C102" s="465">
        <v>236375</v>
      </c>
      <c r="D102" s="466">
        <v>280193</v>
      </c>
      <c r="E102" s="465">
        <v>584546</v>
      </c>
      <c r="F102" s="466">
        <v>303330</v>
      </c>
      <c r="G102" s="465">
        <v>348683</v>
      </c>
      <c r="H102" s="466">
        <v>479999</v>
      </c>
      <c r="I102" s="465">
        <v>287974</v>
      </c>
      <c r="J102" s="468">
        <v>261268</v>
      </c>
    </row>
    <row r="103" spans="1:10" ht="15.2" customHeight="1" x14ac:dyDescent="0.2">
      <c r="A103" s="473" t="s">
        <v>320</v>
      </c>
      <c r="B103" s="467">
        <v>32079</v>
      </c>
      <c r="C103" s="465">
        <v>40714</v>
      </c>
      <c r="D103" s="466">
        <v>36001</v>
      </c>
      <c r="E103" s="465">
        <v>42981</v>
      </c>
      <c r="F103" s="466">
        <v>43803</v>
      </c>
      <c r="G103" s="465">
        <v>38498</v>
      </c>
      <c r="H103" s="466">
        <v>58671</v>
      </c>
      <c r="I103" s="465">
        <v>0</v>
      </c>
      <c r="J103" s="468">
        <v>0</v>
      </c>
    </row>
    <row r="104" spans="1:10" ht="15.2" customHeight="1" x14ac:dyDescent="0.2">
      <c r="A104" s="473" t="s">
        <v>356</v>
      </c>
      <c r="B104" s="467">
        <v>0</v>
      </c>
      <c r="C104" s="465">
        <v>0</v>
      </c>
      <c r="D104" s="466">
        <v>0</v>
      </c>
      <c r="E104" s="465">
        <v>0</v>
      </c>
      <c r="F104" s="466">
        <v>0</v>
      </c>
      <c r="G104" s="465">
        <v>0</v>
      </c>
      <c r="H104" s="466">
        <v>0</v>
      </c>
      <c r="I104" s="465">
        <v>0</v>
      </c>
      <c r="J104" s="468">
        <v>0</v>
      </c>
    </row>
    <row r="105" spans="1:10" ht="15.2" customHeight="1" x14ac:dyDescent="0.2">
      <c r="A105" s="473" t="s">
        <v>357</v>
      </c>
      <c r="B105" s="467">
        <v>885256</v>
      </c>
      <c r="C105" s="465">
        <v>1000283</v>
      </c>
      <c r="D105" s="466">
        <v>1349496</v>
      </c>
      <c r="E105" s="465">
        <v>1612188</v>
      </c>
      <c r="F105" s="466">
        <v>1733922</v>
      </c>
      <c r="G105" s="465">
        <v>2286889</v>
      </c>
      <c r="H105" s="466">
        <v>1894569</v>
      </c>
      <c r="I105" s="465">
        <v>2741777</v>
      </c>
      <c r="J105" s="468">
        <v>2573512</v>
      </c>
    </row>
    <row r="106" spans="1:10" ht="15.2" customHeight="1" x14ac:dyDescent="0.2">
      <c r="A106" s="473" t="s">
        <v>358</v>
      </c>
      <c r="B106" s="467">
        <v>43861</v>
      </c>
      <c r="C106" s="465">
        <v>48244</v>
      </c>
      <c r="D106" s="466">
        <v>64960</v>
      </c>
      <c r="E106" s="465">
        <v>77820</v>
      </c>
      <c r="F106" s="466">
        <v>79502</v>
      </c>
      <c r="G106" s="465">
        <v>71499</v>
      </c>
      <c r="H106" s="466">
        <v>73229</v>
      </c>
      <c r="I106" s="465">
        <v>76658</v>
      </c>
      <c r="J106" s="468">
        <v>53425</v>
      </c>
    </row>
    <row r="107" spans="1:10" ht="15.2" customHeight="1" x14ac:dyDescent="0.2">
      <c r="A107" s="473" t="s">
        <v>359</v>
      </c>
      <c r="B107" s="467">
        <v>24333240</v>
      </c>
      <c r="C107" s="465">
        <v>25660590</v>
      </c>
      <c r="D107" s="466">
        <v>32005178</v>
      </c>
      <c r="E107" s="465">
        <v>37687115</v>
      </c>
      <c r="F107" s="466">
        <v>41094133</v>
      </c>
      <c r="G107" s="465">
        <v>45428365</v>
      </c>
      <c r="H107" s="466">
        <v>48354130</v>
      </c>
      <c r="I107" s="465">
        <v>53064286</v>
      </c>
      <c r="J107" s="468">
        <v>48401528</v>
      </c>
    </row>
    <row r="108" spans="1:10" ht="15.2" customHeight="1" x14ac:dyDescent="0.2">
      <c r="A108" s="473" t="s">
        <v>360</v>
      </c>
      <c r="B108" s="467">
        <v>9291886</v>
      </c>
      <c r="C108" s="465">
        <v>10389922</v>
      </c>
      <c r="D108" s="466">
        <v>12167027</v>
      </c>
      <c r="E108" s="465">
        <v>14946233</v>
      </c>
      <c r="F108" s="466">
        <v>15975357</v>
      </c>
      <c r="G108" s="465">
        <v>16975712</v>
      </c>
      <c r="H108" s="466">
        <v>16965153</v>
      </c>
      <c r="I108" s="465">
        <v>18385786</v>
      </c>
      <c r="J108" s="468">
        <v>18652331</v>
      </c>
    </row>
    <row r="109" spans="1:10" ht="15.2" customHeight="1" x14ac:dyDescent="0.2">
      <c r="A109" s="473" t="s">
        <v>361</v>
      </c>
      <c r="B109" s="467">
        <v>8865375</v>
      </c>
      <c r="C109" s="465">
        <v>9996417</v>
      </c>
      <c r="D109" s="466">
        <v>11787695</v>
      </c>
      <c r="E109" s="465">
        <v>14544932</v>
      </c>
      <c r="F109" s="466">
        <v>15583987</v>
      </c>
      <c r="G109" s="465">
        <v>16596083</v>
      </c>
      <c r="H109" s="466">
        <v>16595713</v>
      </c>
      <c r="I109" s="465">
        <v>18421186</v>
      </c>
      <c r="J109" s="468">
        <v>18690605</v>
      </c>
    </row>
    <row r="110" spans="1:10" ht="15.2" customHeight="1" x14ac:dyDescent="0.2">
      <c r="A110" s="473" t="s">
        <v>362</v>
      </c>
      <c r="B110" s="467">
        <v>1981725</v>
      </c>
      <c r="C110" s="465">
        <v>2321247</v>
      </c>
      <c r="D110" s="466">
        <v>4019646</v>
      </c>
      <c r="E110" s="465">
        <v>3015812</v>
      </c>
      <c r="F110" s="466">
        <v>3154779</v>
      </c>
      <c r="G110" s="465">
        <v>3266402</v>
      </c>
      <c r="H110" s="466">
        <v>3617981</v>
      </c>
      <c r="I110" s="465">
        <v>3081541</v>
      </c>
      <c r="J110" s="468">
        <v>2969782</v>
      </c>
    </row>
    <row r="111" spans="1:10" ht="15.2" customHeight="1" x14ac:dyDescent="0.2">
      <c r="A111" s="473" t="s">
        <v>363</v>
      </c>
      <c r="B111" s="467">
        <v>6883650</v>
      </c>
      <c r="C111" s="465">
        <v>7675170</v>
      </c>
      <c r="D111" s="466">
        <v>7768049</v>
      </c>
      <c r="E111" s="465">
        <v>11529120</v>
      </c>
      <c r="F111" s="466">
        <v>12429208</v>
      </c>
      <c r="G111" s="465">
        <v>13329681</v>
      </c>
      <c r="H111" s="466">
        <v>12977732</v>
      </c>
      <c r="I111" s="465">
        <v>14672751</v>
      </c>
      <c r="J111" s="468">
        <v>15051433</v>
      </c>
    </row>
    <row r="112" spans="1:10" ht="15.2" customHeight="1" x14ac:dyDescent="0.2">
      <c r="A112" s="473" t="s">
        <v>364</v>
      </c>
      <c r="B112" s="467">
        <v>692557</v>
      </c>
      <c r="C112" s="465">
        <v>634749</v>
      </c>
      <c r="D112" s="466">
        <v>756867</v>
      </c>
      <c r="E112" s="465">
        <v>645389</v>
      </c>
      <c r="F112" s="466">
        <v>1070485</v>
      </c>
      <c r="G112" s="465">
        <v>1328894</v>
      </c>
      <c r="H112" s="466">
        <v>314894</v>
      </c>
      <c r="I112" s="465">
        <v>1104712</v>
      </c>
      <c r="J112" s="468">
        <v>668579</v>
      </c>
    </row>
    <row r="113" spans="1:10" ht="15.2" customHeight="1" x14ac:dyDescent="0.2">
      <c r="A113" s="473" t="s">
        <v>365</v>
      </c>
      <c r="B113" s="467">
        <v>1016259</v>
      </c>
      <c r="C113" s="465">
        <v>1178704</v>
      </c>
      <c r="D113" s="466">
        <v>1402305</v>
      </c>
      <c r="E113" s="465">
        <v>2369281</v>
      </c>
      <c r="F113" s="466">
        <v>2324658</v>
      </c>
      <c r="G113" s="465">
        <v>2527234</v>
      </c>
      <c r="H113" s="466">
        <v>2288106</v>
      </c>
      <c r="I113" s="465">
        <v>2307671</v>
      </c>
      <c r="J113" s="468">
        <v>2601463</v>
      </c>
    </row>
    <row r="114" spans="1:10" ht="15.2" customHeight="1" x14ac:dyDescent="0.2">
      <c r="A114" s="473" t="s">
        <v>366</v>
      </c>
      <c r="B114" s="467">
        <v>5174834</v>
      </c>
      <c r="C114" s="465">
        <v>5861717</v>
      </c>
      <c r="D114" s="466">
        <v>5608877</v>
      </c>
      <c r="E114" s="465">
        <v>8514450</v>
      </c>
      <c r="F114" s="466">
        <v>9034065</v>
      </c>
      <c r="G114" s="465">
        <v>9473553</v>
      </c>
      <c r="H114" s="466">
        <v>10374732</v>
      </c>
      <c r="I114" s="465">
        <v>11260368</v>
      </c>
      <c r="J114" s="468">
        <v>11781391</v>
      </c>
    </row>
    <row r="115" spans="1:10" ht="15.2" customHeight="1" x14ac:dyDescent="0.2">
      <c r="A115" s="473" t="s">
        <v>367</v>
      </c>
      <c r="B115" s="467">
        <v>0</v>
      </c>
      <c r="C115" s="465">
        <v>0</v>
      </c>
      <c r="D115" s="466">
        <v>0</v>
      </c>
      <c r="E115" s="465">
        <v>0</v>
      </c>
      <c r="F115" s="466">
        <v>0</v>
      </c>
      <c r="G115" s="465">
        <v>0</v>
      </c>
      <c r="H115" s="466">
        <v>0</v>
      </c>
      <c r="I115" s="465">
        <v>666894</v>
      </c>
      <c r="J115" s="468">
        <v>669390</v>
      </c>
    </row>
    <row r="116" spans="1:10" ht="15.2" customHeight="1" x14ac:dyDescent="0.2">
      <c r="A116" s="473" t="s">
        <v>368</v>
      </c>
      <c r="B116" s="467">
        <v>417649</v>
      </c>
      <c r="C116" s="465">
        <v>383957</v>
      </c>
      <c r="D116" s="466">
        <v>367928</v>
      </c>
      <c r="E116" s="465">
        <v>354964</v>
      </c>
      <c r="F116" s="466">
        <v>341761</v>
      </c>
      <c r="G116" s="465">
        <v>316876</v>
      </c>
      <c r="H116" s="466">
        <v>297695</v>
      </c>
      <c r="I116" s="465">
        <v>-42151</v>
      </c>
      <c r="J116" s="468">
        <v>-42843</v>
      </c>
    </row>
    <row r="117" spans="1:10" ht="15.2" customHeight="1" x14ac:dyDescent="0.2">
      <c r="A117" s="473" t="s">
        <v>369</v>
      </c>
      <c r="B117" s="467">
        <v>8862</v>
      </c>
      <c r="C117" s="465">
        <v>9548</v>
      </c>
      <c r="D117" s="466">
        <v>11404</v>
      </c>
      <c r="E117" s="465">
        <v>46337</v>
      </c>
      <c r="F117" s="466">
        <v>49609</v>
      </c>
      <c r="G117" s="465">
        <v>62753</v>
      </c>
      <c r="H117" s="466">
        <v>71745</v>
      </c>
      <c r="I117" s="465">
        <v>6751</v>
      </c>
      <c r="J117" s="468">
        <v>4569</v>
      </c>
    </row>
    <row r="118" spans="1:10" ht="15.2" customHeight="1" x14ac:dyDescent="0.2">
      <c r="A118" s="473" t="s">
        <v>370</v>
      </c>
      <c r="B118" s="467">
        <v>2272945</v>
      </c>
      <c r="C118" s="465">
        <v>1979443</v>
      </c>
      <c r="D118" s="466">
        <v>3366107</v>
      </c>
      <c r="E118" s="465">
        <v>3895535</v>
      </c>
      <c r="F118" s="466">
        <v>3970798</v>
      </c>
      <c r="G118" s="465">
        <v>5652621</v>
      </c>
      <c r="H118" s="466">
        <v>7487414</v>
      </c>
      <c r="I118" s="465">
        <v>9447509</v>
      </c>
      <c r="J118" s="468">
        <v>9335593</v>
      </c>
    </row>
    <row r="119" spans="1:10" ht="15.2" customHeight="1" x14ac:dyDescent="0.2">
      <c r="A119" s="473" t="s">
        <v>371</v>
      </c>
      <c r="B119" s="467">
        <v>0</v>
      </c>
      <c r="C119" s="465">
        <v>0</v>
      </c>
      <c r="D119" s="466">
        <v>0</v>
      </c>
      <c r="E119" s="465">
        <v>0</v>
      </c>
      <c r="F119" s="466">
        <v>0</v>
      </c>
      <c r="G119" s="465">
        <v>0</v>
      </c>
      <c r="H119" s="466">
        <v>0</v>
      </c>
      <c r="I119" s="465">
        <v>32161</v>
      </c>
      <c r="J119" s="468">
        <v>30188</v>
      </c>
    </row>
    <row r="120" spans="1:10" ht="15.2" customHeight="1" x14ac:dyDescent="0.2">
      <c r="A120" s="473" t="s">
        <v>372</v>
      </c>
      <c r="B120" s="467">
        <v>2272945</v>
      </c>
      <c r="C120" s="465">
        <v>1979443</v>
      </c>
      <c r="D120" s="466">
        <v>3366107</v>
      </c>
      <c r="E120" s="465">
        <v>3895535</v>
      </c>
      <c r="F120" s="466">
        <v>3970798</v>
      </c>
      <c r="G120" s="465">
        <v>5652621</v>
      </c>
      <c r="H120" s="466">
        <v>7487414</v>
      </c>
      <c r="I120" s="465">
        <v>9415348</v>
      </c>
      <c r="J120" s="468">
        <v>9305405</v>
      </c>
    </row>
    <row r="121" spans="1:10" ht="15.2" customHeight="1" x14ac:dyDescent="0.2">
      <c r="A121" s="473" t="s">
        <v>373</v>
      </c>
      <c r="B121" s="467">
        <v>1339743</v>
      </c>
      <c r="C121" s="465">
        <v>1085101</v>
      </c>
      <c r="D121" s="466">
        <v>1937624</v>
      </c>
      <c r="E121" s="465">
        <v>1889289</v>
      </c>
      <c r="F121" s="466">
        <v>1570335</v>
      </c>
      <c r="G121" s="465">
        <v>3511327</v>
      </c>
      <c r="H121" s="466">
        <v>3392563</v>
      </c>
      <c r="I121" s="465">
        <v>4420921</v>
      </c>
      <c r="J121" s="468">
        <v>5032613</v>
      </c>
    </row>
    <row r="122" spans="1:10" ht="15.2" customHeight="1" x14ac:dyDescent="0.2">
      <c r="A122" s="473" t="s">
        <v>374</v>
      </c>
      <c r="B122" s="467">
        <v>933202</v>
      </c>
      <c r="C122" s="465">
        <v>894342</v>
      </c>
      <c r="D122" s="466">
        <v>1428483</v>
      </c>
      <c r="E122" s="465">
        <v>2006246</v>
      </c>
      <c r="F122" s="466">
        <v>2400463</v>
      </c>
      <c r="G122" s="465">
        <v>2141294</v>
      </c>
      <c r="H122" s="466">
        <v>4094851</v>
      </c>
      <c r="I122" s="465">
        <v>4994427</v>
      </c>
      <c r="J122" s="468">
        <v>4272792</v>
      </c>
    </row>
    <row r="123" spans="1:10" ht="15.2" customHeight="1" x14ac:dyDescent="0.2">
      <c r="A123" s="473" t="s">
        <v>375</v>
      </c>
      <c r="B123" s="467">
        <v>0</v>
      </c>
      <c r="C123" s="465">
        <v>0</v>
      </c>
      <c r="D123" s="466">
        <v>0</v>
      </c>
      <c r="E123" s="465">
        <v>0</v>
      </c>
      <c r="F123" s="466">
        <v>0</v>
      </c>
      <c r="G123" s="465">
        <v>0</v>
      </c>
      <c r="H123" s="466">
        <v>0</v>
      </c>
      <c r="I123" s="465">
        <v>695</v>
      </c>
      <c r="J123" s="468">
        <v>653</v>
      </c>
    </row>
    <row r="124" spans="1:10" ht="15.2" customHeight="1" x14ac:dyDescent="0.2">
      <c r="A124" s="473" t="s">
        <v>376</v>
      </c>
      <c r="B124" s="467">
        <v>905183</v>
      </c>
      <c r="C124" s="465">
        <v>872413</v>
      </c>
      <c r="D124" s="466">
        <v>1400764</v>
      </c>
      <c r="E124" s="465">
        <v>1983007</v>
      </c>
      <c r="F124" s="466">
        <v>2372394</v>
      </c>
      <c r="G124" s="465">
        <v>2107621</v>
      </c>
      <c r="H124" s="466">
        <v>4049936</v>
      </c>
      <c r="I124" s="465">
        <v>4973298</v>
      </c>
      <c r="J124" s="468">
        <v>4260045</v>
      </c>
    </row>
    <row r="125" spans="1:10" ht="15.2" customHeight="1" x14ac:dyDescent="0.2">
      <c r="A125" s="473" t="s">
        <v>377</v>
      </c>
      <c r="B125" s="467">
        <v>28019</v>
      </c>
      <c r="C125" s="465">
        <v>21929</v>
      </c>
      <c r="D125" s="466">
        <v>27719</v>
      </c>
      <c r="E125" s="465">
        <v>23239</v>
      </c>
      <c r="F125" s="466">
        <v>28069</v>
      </c>
      <c r="G125" s="465">
        <v>33673</v>
      </c>
      <c r="H125" s="466">
        <v>44915</v>
      </c>
      <c r="I125" s="465">
        <v>20434</v>
      </c>
      <c r="J125" s="468">
        <v>12094</v>
      </c>
    </row>
    <row r="126" spans="1:10" ht="15.2" customHeight="1" x14ac:dyDescent="0.2">
      <c r="A126" s="473" t="s">
        <v>378</v>
      </c>
      <c r="B126" s="467">
        <v>12548419</v>
      </c>
      <c r="C126" s="465">
        <v>12993608</v>
      </c>
      <c r="D126" s="466">
        <v>16112763</v>
      </c>
      <c r="E126" s="465">
        <v>18446561</v>
      </c>
      <c r="F126" s="466">
        <v>20719701</v>
      </c>
      <c r="G126" s="465">
        <v>22378867</v>
      </c>
      <c r="H126" s="466">
        <v>23447064</v>
      </c>
      <c r="I126" s="465">
        <v>24782678</v>
      </c>
      <c r="J126" s="468">
        <v>20038586</v>
      </c>
    </row>
    <row r="127" spans="1:10" ht="15.2" customHeight="1" x14ac:dyDescent="0.2">
      <c r="A127" s="473" t="s">
        <v>379</v>
      </c>
      <c r="B127" s="467">
        <v>0</v>
      </c>
      <c r="C127" s="465">
        <v>0</v>
      </c>
      <c r="D127" s="466">
        <v>0</v>
      </c>
      <c r="E127" s="465">
        <v>0</v>
      </c>
      <c r="F127" s="466">
        <v>0</v>
      </c>
      <c r="G127" s="465">
        <v>0</v>
      </c>
      <c r="H127" s="466">
        <v>0</v>
      </c>
      <c r="I127" s="465">
        <v>24792</v>
      </c>
      <c r="J127" s="468">
        <v>8166</v>
      </c>
    </row>
    <row r="128" spans="1:10" ht="15.2" customHeight="1" x14ac:dyDescent="0.2">
      <c r="A128" s="473" t="s">
        <v>380</v>
      </c>
      <c r="B128" s="467">
        <v>2719747</v>
      </c>
      <c r="C128" s="465">
        <v>2321851</v>
      </c>
      <c r="D128" s="466">
        <v>3287686</v>
      </c>
      <c r="E128" s="465">
        <v>3282526</v>
      </c>
      <c r="F128" s="466">
        <v>4147230</v>
      </c>
      <c r="G128" s="465">
        <v>4922365</v>
      </c>
      <c r="H128" s="466">
        <v>5767891</v>
      </c>
      <c r="I128" s="465">
        <v>7469250</v>
      </c>
      <c r="J128" s="468">
        <v>4671946</v>
      </c>
    </row>
    <row r="129" spans="1:10" ht="15.2" customHeight="1" x14ac:dyDescent="0.2">
      <c r="A129" s="473" t="s">
        <v>381</v>
      </c>
      <c r="B129" s="467">
        <v>619934</v>
      </c>
      <c r="C129" s="465">
        <v>653400</v>
      </c>
      <c r="D129" s="466">
        <v>557566</v>
      </c>
      <c r="E129" s="465">
        <v>599521</v>
      </c>
      <c r="F129" s="466">
        <v>1026872</v>
      </c>
      <c r="G129" s="465">
        <v>1446990</v>
      </c>
      <c r="H129" s="466">
        <v>2007707</v>
      </c>
      <c r="I129" s="465">
        <v>3589680</v>
      </c>
      <c r="J129" s="468">
        <v>1648884</v>
      </c>
    </row>
    <row r="130" spans="1:10" ht="15.2" customHeight="1" x14ac:dyDescent="0.2">
      <c r="A130" s="473" t="s">
        <v>382</v>
      </c>
      <c r="B130" s="467">
        <v>2099813</v>
      </c>
      <c r="C130" s="465">
        <v>1668451</v>
      </c>
      <c r="D130" s="466">
        <v>2730120</v>
      </c>
      <c r="E130" s="465">
        <v>2683005</v>
      </c>
      <c r="F130" s="466">
        <v>3120358</v>
      </c>
      <c r="G130" s="465">
        <v>3475375</v>
      </c>
      <c r="H130" s="466">
        <v>3760184</v>
      </c>
      <c r="I130" s="465">
        <v>3879570</v>
      </c>
      <c r="J130" s="468">
        <v>3023062</v>
      </c>
    </row>
    <row r="131" spans="1:10" ht="15.2" customHeight="1" x14ac:dyDescent="0.2">
      <c r="A131" s="473" t="s">
        <v>375</v>
      </c>
      <c r="B131" s="467">
        <v>0</v>
      </c>
      <c r="C131" s="465">
        <v>0</v>
      </c>
      <c r="D131" s="466">
        <v>0</v>
      </c>
      <c r="E131" s="465">
        <v>0</v>
      </c>
      <c r="F131" s="466">
        <v>0</v>
      </c>
      <c r="G131" s="465">
        <v>0</v>
      </c>
      <c r="H131" s="466">
        <v>0</v>
      </c>
      <c r="I131" s="465">
        <v>0</v>
      </c>
      <c r="J131" s="468">
        <v>0</v>
      </c>
    </row>
    <row r="132" spans="1:10" ht="15.2" customHeight="1" x14ac:dyDescent="0.2">
      <c r="A132" s="473" t="s">
        <v>383</v>
      </c>
      <c r="B132" s="467">
        <v>2082668</v>
      </c>
      <c r="C132" s="465">
        <v>1621595</v>
      </c>
      <c r="D132" s="466">
        <v>2723419</v>
      </c>
      <c r="E132" s="465">
        <v>2672283</v>
      </c>
      <c r="F132" s="466">
        <v>3110632</v>
      </c>
      <c r="G132" s="465">
        <v>3470808</v>
      </c>
      <c r="H132" s="466">
        <v>3744511</v>
      </c>
      <c r="I132" s="465">
        <v>3838612</v>
      </c>
      <c r="J132" s="468">
        <v>2980327</v>
      </c>
    </row>
    <row r="133" spans="1:10" ht="15.2" customHeight="1" x14ac:dyDescent="0.2">
      <c r="A133" s="473" t="s">
        <v>377</v>
      </c>
      <c r="B133" s="467">
        <v>17145</v>
      </c>
      <c r="C133" s="465">
        <v>46856</v>
      </c>
      <c r="D133" s="466">
        <v>6701</v>
      </c>
      <c r="E133" s="465">
        <v>10722</v>
      </c>
      <c r="F133" s="466">
        <v>9726</v>
      </c>
      <c r="G133" s="465">
        <v>4567</v>
      </c>
      <c r="H133" s="466">
        <v>15673</v>
      </c>
      <c r="I133" s="465">
        <v>40958</v>
      </c>
      <c r="J133" s="468">
        <v>42735</v>
      </c>
    </row>
    <row r="134" spans="1:10" ht="15.2" customHeight="1" x14ac:dyDescent="0.2">
      <c r="A134" s="473" t="s">
        <v>384</v>
      </c>
      <c r="B134" s="467">
        <v>9828672</v>
      </c>
      <c r="C134" s="465">
        <v>10671757</v>
      </c>
      <c r="D134" s="466">
        <v>12825077</v>
      </c>
      <c r="E134" s="465">
        <v>15164035</v>
      </c>
      <c r="F134" s="466">
        <v>16572471</v>
      </c>
      <c r="G134" s="465">
        <v>17456502</v>
      </c>
      <c r="H134" s="466">
        <v>17679173</v>
      </c>
      <c r="I134" s="465">
        <v>17288636</v>
      </c>
      <c r="J134" s="468">
        <v>15358474</v>
      </c>
    </row>
    <row r="135" spans="1:10" ht="15.2" customHeight="1" x14ac:dyDescent="0.2">
      <c r="A135" s="473" t="s">
        <v>385</v>
      </c>
      <c r="B135" s="467">
        <v>7458055</v>
      </c>
      <c r="C135" s="465">
        <v>8018814</v>
      </c>
      <c r="D135" s="466">
        <v>9674072</v>
      </c>
      <c r="E135" s="465">
        <v>11276600</v>
      </c>
      <c r="F135" s="466">
        <v>11607004</v>
      </c>
      <c r="G135" s="465">
        <v>12146341</v>
      </c>
      <c r="H135" s="466">
        <v>12330026</v>
      </c>
      <c r="I135" s="465">
        <v>11974999</v>
      </c>
      <c r="J135" s="468">
        <v>10745012</v>
      </c>
    </row>
    <row r="136" spans="1:10" ht="15.2" customHeight="1" x14ac:dyDescent="0.2">
      <c r="A136" s="473" t="s">
        <v>386</v>
      </c>
      <c r="B136" s="467">
        <v>2356617</v>
      </c>
      <c r="C136" s="465">
        <v>2622364</v>
      </c>
      <c r="D136" s="466">
        <v>3133106</v>
      </c>
      <c r="E136" s="465">
        <v>3871946</v>
      </c>
      <c r="F136" s="466">
        <v>4934530</v>
      </c>
      <c r="G136" s="465">
        <v>5290375</v>
      </c>
      <c r="H136" s="466">
        <v>5323613</v>
      </c>
      <c r="I136" s="465">
        <v>5296966</v>
      </c>
      <c r="J136" s="468">
        <v>4594669</v>
      </c>
    </row>
    <row r="137" spans="1:10" ht="15.2" customHeight="1" x14ac:dyDescent="0.2">
      <c r="A137" s="473" t="s">
        <v>387</v>
      </c>
      <c r="B137" s="467">
        <v>1334723</v>
      </c>
      <c r="C137" s="465">
        <v>1471729</v>
      </c>
      <c r="D137" s="466">
        <v>1767540</v>
      </c>
      <c r="E137" s="465">
        <v>2284193</v>
      </c>
      <c r="F137" s="466">
        <v>2764237</v>
      </c>
      <c r="G137" s="465">
        <v>2746617</v>
      </c>
      <c r="H137" s="466">
        <v>2702983</v>
      </c>
      <c r="I137" s="465">
        <v>2976350</v>
      </c>
      <c r="J137" s="468">
        <v>2660659</v>
      </c>
    </row>
    <row r="138" spans="1:10" ht="15.2" customHeight="1" x14ac:dyDescent="0.2">
      <c r="A138" s="473" t="s">
        <v>388</v>
      </c>
      <c r="B138" s="467">
        <v>961117</v>
      </c>
      <c r="C138" s="465">
        <v>1074501</v>
      </c>
      <c r="D138" s="466">
        <v>1294159</v>
      </c>
      <c r="E138" s="465">
        <v>1514370</v>
      </c>
      <c r="F138" s="466">
        <v>2076774</v>
      </c>
      <c r="G138" s="465">
        <v>2433798</v>
      </c>
      <c r="H138" s="466">
        <v>2464001</v>
      </c>
      <c r="I138" s="465">
        <v>2080748</v>
      </c>
      <c r="J138" s="468">
        <v>1807709</v>
      </c>
    </row>
    <row r="139" spans="1:10" ht="15.2" customHeight="1" x14ac:dyDescent="0.2">
      <c r="A139" s="473" t="s">
        <v>377</v>
      </c>
      <c r="B139" s="467">
        <v>60777</v>
      </c>
      <c r="C139" s="465">
        <v>76134</v>
      </c>
      <c r="D139" s="466">
        <v>71407</v>
      </c>
      <c r="E139" s="465">
        <v>73383</v>
      </c>
      <c r="F139" s="466">
        <v>93519</v>
      </c>
      <c r="G139" s="465">
        <v>109960</v>
      </c>
      <c r="H139" s="466">
        <v>156629</v>
      </c>
      <c r="I139" s="465">
        <v>239868</v>
      </c>
      <c r="J139" s="468">
        <v>126301</v>
      </c>
    </row>
    <row r="140" spans="1:10" ht="15.2" customHeight="1" x14ac:dyDescent="0.2">
      <c r="A140" s="473" t="s">
        <v>389</v>
      </c>
      <c r="B140" s="467">
        <v>14000</v>
      </c>
      <c r="C140" s="465">
        <v>30579</v>
      </c>
      <c r="D140" s="466">
        <v>17899</v>
      </c>
      <c r="E140" s="465">
        <v>15489</v>
      </c>
      <c r="F140" s="466">
        <v>30937</v>
      </c>
      <c r="G140" s="465">
        <v>19786</v>
      </c>
      <c r="H140" s="466">
        <v>25534</v>
      </c>
      <c r="I140" s="465">
        <v>16671</v>
      </c>
      <c r="J140" s="468">
        <v>18793</v>
      </c>
    </row>
    <row r="141" spans="1:10" ht="15.2" customHeight="1" x14ac:dyDescent="0.2">
      <c r="A141" s="473" t="s">
        <v>390</v>
      </c>
      <c r="B141" s="467">
        <v>219990</v>
      </c>
      <c r="C141" s="465">
        <v>297617</v>
      </c>
      <c r="D141" s="466">
        <v>359281</v>
      </c>
      <c r="E141" s="465">
        <v>398786</v>
      </c>
      <c r="F141" s="466">
        <v>428277</v>
      </c>
      <c r="G141" s="465">
        <v>421165</v>
      </c>
      <c r="H141" s="466">
        <v>454499</v>
      </c>
      <c r="I141" s="465">
        <v>448313</v>
      </c>
      <c r="J141" s="468">
        <v>375018</v>
      </c>
    </row>
    <row r="142" spans="1:10" ht="15.2" customHeight="1" x14ac:dyDescent="0.2">
      <c r="A142" s="473" t="s">
        <v>391</v>
      </c>
      <c r="B142" s="467">
        <v>24333240</v>
      </c>
      <c r="C142" s="465">
        <v>25660590</v>
      </c>
      <c r="D142" s="466">
        <v>32005178</v>
      </c>
      <c r="E142" s="465">
        <v>37687115</v>
      </c>
      <c r="F142" s="466">
        <v>41094133</v>
      </c>
      <c r="G142" s="465">
        <v>45428365</v>
      </c>
      <c r="H142" s="466">
        <v>48354130</v>
      </c>
      <c r="I142" s="465">
        <v>53064286</v>
      </c>
      <c r="J142" s="468">
        <v>48401528</v>
      </c>
    </row>
    <row r="143" spans="1:10" ht="15.2" customHeight="1" x14ac:dyDescent="0.2">
      <c r="A143" s="473" t="s">
        <v>392</v>
      </c>
      <c r="B143" s="467"/>
      <c r="C143" s="465"/>
      <c r="D143" s="466"/>
      <c r="E143" s="465"/>
      <c r="F143" s="466"/>
      <c r="G143" s="465"/>
      <c r="H143" s="466"/>
      <c r="I143" s="465"/>
      <c r="J143" s="468"/>
    </row>
    <row r="144" spans="1:10" ht="15.2" customHeight="1" x14ac:dyDescent="0.2">
      <c r="A144" s="473" t="s">
        <v>393</v>
      </c>
      <c r="B144" s="467">
        <v>15212402</v>
      </c>
      <c r="C144" s="465">
        <v>16093417</v>
      </c>
      <c r="D144" s="466">
        <v>19826116</v>
      </c>
      <c r="E144" s="465">
        <v>23661777</v>
      </c>
      <c r="F144" s="466">
        <v>25429532</v>
      </c>
      <c r="G144" s="465">
        <v>28125375</v>
      </c>
      <c r="H144" s="466">
        <v>30681243</v>
      </c>
      <c r="I144" s="465">
        <v>34220763</v>
      </c>
      <c r="J144" s="468">
        <v>31308035</v>
      </c>
    </row>
    <row r="145" spans="1:10" ht="15.2" customHeight="1" x14ac:dyDescent="0.2">
      <c r="A145" s="473" t="s">
        <v>394</v>
      </c>
      <c r="B145" s="467">
        <v>-707834</v>
      </c>
      <c r="C145" s="465">
        <v>-1104584</v>
      </c>
      <c r="D145" s="466">
        <v>-646015</v>
      </c>
      <c r="E145" s="465">
        <v>-1138697</v>
      </c>
      <c r="F145" s="466">
        <v>-907870</v>
      </c>
      <c r="G145" s="465">
        <v>-153512</v>
      </c>
      <c r="H145" s="466">
        <v>-6286</v>
      </c>
      <c r="I145" s="465">
        <v>1554887</v>
      </c>
      <c r="J145" s="468">
        <v>1735019</v>
      </c>
    </row>
    <row r="146" spans="1:10" ht="15.2" customHeight="1" x14ac:dyDescent="0.2">
      <c r="A146" s="473" t="s">
        <v>395</v>
      </c>
      <c r="B146" s="467"/>
      <c r="C146" s="465"/>
      <c r="D146" s="466"/>
      <c r="E146" s="465"/>
      <c r="F146" s="466"/>
      <c r="G146" s="465"/>
      <c r="H146" s="466"/>
      <c r="I146" s="465"/>
      <c r="J146" s="468"/>
    </row>
    <row r="147" spans="1:10" ht="15.2" customHeight="1" x14ac:dyDescent="0.2">
      <c r="A147" s="473" t="s">
        <v>396</v>
      </c>
      <c r="B147" s="467">
        <v>9120838</v>
      </c>
      <c r="C147" s="465">
        <v>9567173</v>
      </c>
      <c r="D147" s="466">
        <v>12179062</v>
      </c>
      <c r="E147" s="465">
        <v>14025338</v>
      </c>
      <c r="F147" s="466">
        <v>15664601</v>
      </c>
      <c r="G147" s="465">
        <v>17302990</v>
      </c>
      <c r="H147" s="466">
        <v>17672887</v>
      </c>
      <c r="I147" s="465">
        <v>18843523</v>
      </c>
      <c r="J147" s="468">
        <v>17093493</v>
      </c>
    </row>
    <row r="148" spans="1:10" ht="15.2" customHeight="1" x14ac:dyDescent="0.2">
      <c r="A148" s="473" t="s">
        <v>397</v>
      </c>
      <c r="B148" s="467">
        <v>9828672</v>
      </c>
      <c r="C148" s="465">
        <v>10671757</v>
      </c>
      <c r="D148" s="466">
        <v>12825077</v>
      </c>
      <c r="E148" s="465">
        <v>15164035</v>
      </c>
      <c r="F148" s="466">
        <v>16572471</v>
      </c>
      <c r="G148" s="465">
        <v>17456502</v>
      </c>
      <c r="H148" s="466">
        <v>17679173</v>
      </c>
      <c r="I148" s="465">
        <v>17288636</v>
      </c>
      <c r="J148" s="468">
        <v>15358474</v>
      </c>
    </row>
    <row r="149" spans="1:10" ht="15.2" customHeight="1" x14ac:dyDescent="0.2">
      <c r="A149" s="473" t="s">
        <v>398</v>
      </c>
      <c r="B149" s="467"/>
      <c r="C149" s="465"/>
      <c r="D149" s="466"/>
      <c r="E149" s="465"/>
      <c r="F149" s="466"/>
      <c r="G149" s="465"/>
      <c r="H149" s="466"/>
      <c r="I149" s="465"/>
      <c r="J149" s="468"/>
    </row>
    <row r="150" spans="1:10" ht="15.2" customHeight="1" x14ac:dyDescent="0.2">
      <c r="A150" s="473" t="s">
        <v>399</v>
      </c>
      <c r="B150" s="467">
        <v>0</v>
      </c>
      <c r="C150" s="465">
        <v>0</v>
      </c>
      <c r="D150" s="466">
        <v>0</v>
      </c>
      <c r="E150" s="465">
        <v>0</v>
      </c>
      <c r="F150" s="466">
        <v>0</v>
      </c>
      <c r="G150" s="465">
        <v>0</v>
      </c>
      <c r="H150" s="466">
        <v>0</v>
      </c>
      <c r="I150" s="465">
        <v>14688</v>
      </c>
      <c r="J150" s="468">
        <v>207364</v>
      </c>
    </row>
    <row r="151" spans="1:10" ht="15.2" customHeight="1" x14ac:dyDescent="0.2">
      <c r="A151" s="473" t="s">
        <v>400</v>
      </c>
      <c r="B151" s="467">
        <v>4037193</v>
      </c>
      <c r="C151" s="465">
        <v>4008577</v>
      </c>
      <c r="D151" s="466">
        <v>4865758</v>
      </c>
      <c r="E151" s="465">
        <v>5722521</v>
      </c>
      <c r="F151" s="466">
        <v>6332437</v>
      </c>
      <c r="G151" s="465">
        <v>6767216</v>
      </c>
      <c r="H151" s="466">
        <v>6888402</v>
      </c>
      <c r="I151" s="465">
        <v>7051211</v>
      </c>
      <c r="J151" s="468">
        <v>5673300</v>
      </c>
    </row>
    <row r="152" spans="1:10" ht="15.2" customHeight="1" x14ac:dyDescent="0.2">
      <c r="A152" s="473" t="s">
        <v>401</v>
      </c>
      <c r="B152" s="467">
        <v>-6074123</v>
      </c>
      <c r="C152" s="465">
        <v>-6597648</v>
      </c>
      <c r="D152" s="466">
        <v>-8069312</v>
      </c>
      <c r="E152" s="465">
        <v>-9714775</v>
      </c>
      <c r="F152" s="466">
        <v>-9748270</v>
      </c>
      <c r="G152" s="465">
        <v>-10365067</v>
      </c>
      <c r="H152" s="466">
        <v>-10206917</v>
      </c>
      <c r="I152" s="465">
        <v>-9595446</v>
      </c>
      <c r="J152" s="468">
        <v>-8459857</v>
      </c>
    </row>
    <row r="153" spans="1:10" ht="15.2" customHeight="1" x14ac:dyDescent="0.2">
      <c r="A153" s="473" t="s">
        <v>402</v>
      </c>
      <c r="B153" s="467">
        <v>-678911</v>
      </c>
      <c r="C153" s="465">
        <v>-1352085</v>
      </c>
      <c r="D153" s="466">
        <v>-1447919</v>
      </c>
      <c r="E153" s="465">
        <v>-2279506</v>
      </c>
      <c r="F153" s="466">
        <v>-2781556</v>
      </c>
      <c r="G153" s="465">
        <v>-3009432</v>
      </c>
      <c r="H153" s="466">
        <v>-3257753</v>
      </c>
      <c r="I153" s="465">
        <v>-3775346</v>
      </c>
      <c r="J153" s="468">
        <v>-3409314</v>
      </c>
    </row>
    <row r="154" spans="1:10" ht="15.2" customHeight="1" x14ac:dyDescent="0.2">
      <c r="A154" s="473" t="s">
        <v>403</v>
      </c>
      <c r="B154" s="467">
        <v>1092890</v>
      </c>
      <c r="C154" s="465">
        <v>1818624</v>
      </c>
      <c r="D154" s="466">
        <v>2608901</v>
      </c>
      <c r="E154" s="465">
        <v>3458544</v>
      </c>
      <c r="F154" s="466">
        <v>3507032</v>
      </c>
      <c r="G154" s="465">
        <v>4115169</v>
      </c>
      <c r="H154" s="466">
        <v>4627718</v>
      </c>
      <c r="I154" s="465">
        <v>5058016</v>
      </c>
      <c r="J154" s="468">
        <v>5115382</v>
      </c>
    </row>
    <row r="155" spans="1:10" ht="15.2" customHeight="1" x14ac:dyDescent="0.2">
      <c r="A155" s="473" t="s">
        <v>404</v>
      </c>
      <c r="B155" s="467">
        <v>885256</v>
      </c>
      <c r="C155" s="465">
        <v>1000283</v>
      </c>
      <c r="D155" s="466">
        <v>1349496</v>
      </c>
      <c r="E155" s="465">
        <v>1612188</v>
      </c>
      <c r="F155" s="466">
        <v>1733922</v>
      </c>
      <c r="G155" s="465">
        <v>2286889</v>
      </c>
      <c r="H155" s="466">
        <v>1894569</v>
      </c>
      <c r="I155" s="465">
        <v>2741777</v>
      </c>
      <c r="J155" s="468">
        <v>2573512</v>
      </c>
    </row>
    <row r="156" spans="1:10" ht="15.2" customHeight="1" x14ac:dyDescent="0.2">
      <c r="A156" s="473" t="s">
        <v>405</v>
      </c>
      <c r="B156" s="467">
        <v>29861</v>
      </c>
      <c r="C156" s="465">
        <v>17665</v>
      </c>
      <c r="D156" s="466">
        <v>47061</v>
      </c>
      <c r="E156" s="465">
        <v>62331</v>
      </c>
      <c r="F156" s="466">
        <v>48565</v>
      </c>
      <c r="G156" s="465">
        <v>51713</v>
      </c>
      <c r="H156" s="466">
        <v>47695</v>
      </c>
      <c r="I156" s="465">
        <v>59987</v>
      </c>
      <c r="J156" s="468">
        <v>34632</v>
      </c>
    </row>
    <row r="157" spans="1:10" ht="15.2" customHeight="1" x14ac:dyDescent="0.2">
      <c r="A157" s="473" t="s">
        <v>406</v>
      </c>
      <c r="B157" s="467">
        <v>219990</v>
      </c>
      <c r="C157" s="465">
        <v>297617</v>
      </c>
      <c r="D157" s="466">
        <v>359281</v>
      </c>
      <c r="E157" s="465">
        <v>398786</v>
      </c>
      <c r="F157" s="466">
        <v>428277</v>
      </c>
      <c r="G157" s="465">
        <v>421165</v>
      </c>
      <c r="H157" s="466">
        <v>454499</v>
      </c>
      <c r="I157" s="465">
        <v>448313</v>
      </c>
      <c r="J157" s="468">
        <v>375018</v>
      </c>
    </row>
    <row r="158" spans="1:10" ht="15.2" customHeight="1" x14ac:dyDescent="0.2">
      <c r="A158" s="473" t="s">
        <v>407</v>
      </c>
      <c r="B158" s="467">
        <v>14284578</v>
      </c>
      <c r="C158" s="465">
        <v>14691216</v>
      </c>
      <c r="D158" s="466">
        <v>18820820</v>
      </c>
      <c r="E158" s="465">
        <v>22124294</v>
      </c>
      <c r="F158" s="466">
        <v>24093385</v>
      </c>
      <c r="G158" s="465">
        <v>27550698</v>
      </c>
      <c r="H158" s="466">
        <v>30220458</v>
      </c>
      <c r="I158" s="465">
        <v>35327337</v>
      </c>
      <c r="J158" s="468">
        <v>32668036</v>
      </c>
    </row>
    <row r="159" spans="1:10" ht="15.2" customHeight="1" x14ac:dyDescent="0.2">
      <c r="A159" s="473" t="s">
        <v>408</v>
      </c>
      <c r="B159" s="467">
        <v>11564831</v>
      </c>
      <c r="C159" s="465">
        <v>12369365</v>
      </c>
      <c r="D159" s="466">
        <v>15533134</v>
      </c>
      <c r="E159" s="465">
        <v>18841768</v>
      </c>
      <c r="F159" s="466">
        <v>19946155</v>
      </c>
      <c r="G159" s="465">
        <v>22628333</v>
      </c>
      <c r="H159" s="466">
        <v>24452567</v>
      </c>
      <c r="I159" s="465">
        <v>27833295</v>
      </c>
      <c r="J159" s="468">
        <v>27987924</v>
      </c>
    </row>
    <row r="160" spans="1:10" ht="15.2" customHeight="1" x14ac:dyDescent="0.2">
      <c r="A160" s="473" t="s">
        <v>409</v>
      </c>
      <c r="B160" s="467">
        <v>9291886</v>
      </c>
      <c r="C160" s="465">
        <v>10389922</v>
      </c>
      <c r="D160" s="466">
        <v>12167027</v>
      </c>
      <c r="E160" s="465">
        <v>14946233</v>
      </c>
      <c r="F160" s="466">
        <v>15975357</v>
      </c>
      <c r="G160" s="465">
        <v>16975712</v>
      </c>
      <c r="H160" s="466">
        <v>16965153</v>
      </c>
      <c r="I160" s="465">
        <v>18385786</v>
      </c>
      <c r="J160" s="468">
        <v>18652331</v>
      </c>
    </row>
    <row r="161" spans="1:10" ht="15.2" customHeight="1" x14ac:dyDescent="0.2">
      <c r="A161" s="473" t="s">
        <v>372</v>
      </c>
      <c r="B161" s="467">
        <v>2272945</v>
      </c>
      <c r="C161" s="465">
        <v>1979443</v>
      </c>
      <c r="D161" s="466">
        <v>3366107</v>
      </c>
      <c r="E161" s="465">
        <v>3895535</v>
      </c>
      <c r="F161" s="466">
        <v>3970798</v>
      </c>
      <c r="G161" s="465">
        <v>5652621</v>
      </c>
      <c r="H161" s="466">
        <v>7487414</v>
      </c>
      <c r="I161" s="465">
        <v>9447509</v>
      </c>
      <c r="J161" s="468">
        <v>9335593</v>
      </c>
    </row>
    <row r="162" spans="1:10" ht="15.2" customHeight="1" x14ac:dyDescent="0.2">
      <c r="A162" s="473" t="s">
        <v>410</v>
      </c>
      <c r="B162" s="467">
        <v>2719747</v>
      </c>
      <c r="C162" s="465">
        <v>2321851</v>
      </c>
      <c r="D162" s="466">
        <v>3287686</v>
      </c>
      <c r="E162" s="465">
        <v>3282526</v>
      </c>
      <c r="F162" s="466">
        <v>4147230</v>
      </c>
      <c r="G162" s="465">
        <v>4922365</v>
      </c>
      <c r="H162" s="466">
        <v>5767891</v>
      </c>
      <c r="I162" s="465">
        <v>7494042</v>
      </c>
      <c r="J162" s="468">
        <v>4680112</v>
      </c>
    </row>
    <row r="163" spans="1:10" ht="15.2" customHeight="1" x14ac:dyDescent="0.2">
      <c r="A163" s="473" t="s">
        <v>411</v>
      </c>
      <c r="B163" s="467">
        <v>4992692</v>
      </c>
      <c r="C163" s="465">
        <v>4301294</v>
      </c>
      <c r="D163" s="466">
        <v>6653793</v>
      </c>
      <c r="E163" s="465">
        <v>7178061</v>
      </c>
      <c r="F163" s="466">
        <v>8118028</v>
      </c>
      <c r="G163" s="465">
        <v>10574986</v>
      </c>
      <c r="H163" s="466">
        <v>13255305</v>
      </c>
      <c r="I163" s="465">
        <v>16941551</v>
      </c>
      <c r="J163" s="468">
        <v>14015705</v>
      </c>
    </row>
    <row r="164" spans="1:10" ht="15.2" customHeight="1" x14ac:dyDescent="0.2">
      <c r="A164" s="473" t="s">
        <v>412</v>
      </c>
      <c r="B164" s="467"/>
      <c r="C164" s="465"/>
      <c r="D164" s="466"/>
      <c r="E164" s="465"/>
      <c r="F164" s="466"/>
      <c r="G164" s="465"/>
      <c r="H164" s="466"/>
      <c r="I164" s="465"/>
      <c r="J164" s="468"/>
    </row>
    <row r="165" spans="1:10" ht="15.2" customHeight="1" x14ac:dyDescent="0.2">
      <c r="A165" s="473" t="s">
        <v>413</v>
      </c>
      <c r="B165" s="467"/>
      <c r="C165" s="465"/>
      <c r="D165" s="466"/>
      <c r="E165" s="465"/>
      <c r="F165" s="466"/>
      <c r="G165" s="465"/>
      <c r="H165" s="466"/>
      <c r="I165" s="465"/>
      <c r="J165" s="468"/>
    </row>
    <row r="166" spans="1:10" ht="15.2" customHeight="1" x14ac:dyDescent="0.2">
      <c r="A166" s="473" t="s">
        <v>414</v>
      </c>
      <c r="B166" s="467">
        <v>179697</v>
      </c>
      <c r="C166" s="465">
        <v>192470</v>
      </c>
      <c r="D166" s="466">
        <v>204207</v>
      </c>
      <c r="E166" s="465">
        <v>225789</v>
      </c>
      <c r="F166" s="466">
        <v>261779</v>
      </c>
      <c r="G166" s="465">
        <v>416809</v>
      </c>
      <c r="H166" s="466">
        <v>553128</v>
      </c>
      <c r="I166" s="465">
        <v>830206</v>
      </c>
      <c r="J166" s="468">
        <v>522672</v>
      </c>
    </row>
    <row r="167" spans="1:10" ht="15.2" customHeight="1" x14ac:dyDescent="0.2">
      <c r="A167" s="473" t="s">
        <v>415</v>
      </c>
      <c r="B167" s="467">
        <v>1490108</v>
      </c>
      <c r="C167" s="465">
        <v>1770980</v>
      </c>
      <c r="D167" s="466">
        <v>2031188</v>
      </c>
      <c r="E167" s="465">
        <v>2796819</v>
      </c>
      <c r="F167" s="466">
        <v>3296395</v>
      </c>
      <c r="G167" s="465">
        <v>3094593</v>
      </c>
      <c r="H167" s="466">
        <v>3405263</v>
      </c>
      <c r="I167" s="465">
        <v>2946484</v>
      </c>
      <c r="J167" s="468">
        <v>2603957</v>
      </c>
    </row>
    <row r="168" spans="1:10" ht="15.2" customHeight="1" x14ac:dyDescent="0.2">
      <c r="A168" s="473" t="s">
        <v>416</v>
      </c>
      <c r="B168" s="467"/>
      <c r="C168" s="465"/>
      <c r="D168" s="466"/>
      <c r="E168" s="465"/>
      <c r="F168" s="466"/>
      <c r="G168" s="465"/>
      <c r="H168" s="466"/>
      <c r="I168" s="465"/>
      <c r="J168" s="468"/>
    </row>
    <row r="169" spans="1:10" ht="15.2" customHeight="1" x14ac:dyDescent="0.2">
      <c r="A169" s="473" t="s">
        <v>417</v>
      </c>
      <c r="B169" s="467">
        <v>8873915.5</v>
      </c>
      <c r="C169" s="465">
        <v>9975327</v>
      </c>
      <c r="D169" s="466">
        <v>11702354</v>
      </c>
      <c r="E169" s="465">
        <v>14107037</v>
      </c>
      <c r="F169" s="466">
        <v>15534551</v>
      </c>
      <c r="G169" s="465">
        <v>16557836</v>
      </c>
      <c r="H169" s="466">
        <v>16861129</v>
      </c>
      <c r="I169" s="465">
        <v>17842005.5</v>
      </c>
      <c r="J169" s="468">
        <v>18037501.5</v>
      </c>
    </row>
    <row r="170" spans="1:10" ht="15.2" customHeight="1" x14ac:dyDescent="0.2">
      <c r="A170" s="473" t="s">
        <v>418</v>
      </c>
      <c r="B170" s="467">
        <v>4332077</v>
      </c>
      <c r="C170" s="465">
        <v>4578038</v>
      </c>
      <c r="D170" s="466">
        <v>6061416.5</v>
      </c>
      <c r="E170" s="465">
        <v>7340557.5</v>
      </c>
      <c r="F170" s="466">
        <v>7756735.5</v>
      </c>
      <c r="G170" s="465">
        <v>9053969</v>
      </c>
      <c r="H170" s="466">
        <v>12121903.5</v>
      </c>
      <c r="I170" s="465">
        <v>15543336</v>
      </c>
      <c r="J170" s="468">
        <v>14298883</v>
      </c>
    </row>
    <row r="171" spans="1:10" ht="15.2" customHeight="1" x14ac:dyDescent="0.2">
      <c r="A171" s="473" t="s">
        <v>419</v>
      </c>
      <c r="B171" s="467">
        <v>13205992.5</v>
      </c>
      <c r="C171" s="465">
        <v>14553365</v>
      </c>
      <c r="D171" s="466">
        <v>17763770.5</v>
      </c>
      <c r="E171" s="465">
        <v>21447594.5</v>
      </c>
      <c r="F171" s="466">
        <v>23291286.5</v>
      </c>
      <c r="G171" s="465">
        <v>25611805</v>
      </c>
      <c r="H171" s="466">
        <v>28983032.5</v>
      </c>
      <c r="I171" s="465">
        <v>33385341.5</v>
      </c>
      <c r="J171" s="468">
        <v>32336384.5</v>
      </c>
    </row>
    <row r="172" spans="1:10" ht="15.2" customHeight="1" x14ac:dyDescent="0.2">
      <c r="A172" s="473" t="s">
        <v>420</v>
      </c>
      <c r="B172" s="467"/>
      <c r="C172" s="465"/>
      <c r="D172" s="466"/>
      <c r="E172" s="465"/>
      <c r="F172" s="466"/>
      <c r="G172" s="465"/>
      <c r="H172" s="466"/>
      <c r="I172" s="465"/>
      <c r="J172" s="468"/>
    </row>
    <row r="173" spans="1:10" ht="15.2" customHeight="1" x14ac:dyDescent="0.2">
      <c r="A173" s="473" t="s">
        <v>421</v>
      </c>
      <c r="B173" s="467">
        <v>12.6</v>
      </c>
      <c r="C173" s="465">
        <v>13.5</v>
      </c>
      <c r="D173" s="466">
        <v>12.6</v>
      </c>
      <c r="E173" s="465">
        <v>14.1</v>
      </c>
      <c r="F173" s="466">
        <v>15.3</v>
      </c>
      <c r="G173" s="465">
        <v>13.7</v>
      </c>
      <c r="H173" s="466">
        <v>13.7</v>
      </c>
      <c r="I173" s="465">
        <v>11.3</v>
      </c>
      <c r="J173" s="468">
        <v>9.6999999999999993</v>
      </c>
    </row>
    <row r="174" spans="1:10" ht="15.2" customHeight="1" x14ac:dyDescent="0.2">
      <c r="A174" s="473" t="s">
        <v>422</v>
      </c>
      <c r="B174" s="467">
        <v>4.0999999999999996</v>
      </c>
      <c r="C174" s="465">
        <v>4.2</v>
      </c>
      <c r="D174" s="466">
        <v>3.4</v>
      </c>
      <c r="E174" s="465">
        <v>3.1</v>
      </c>
      <c r="F174" s="466">
        <v>3.4</v>
      </c>
      <c r="G174" s="465">
        <v>4.5999999999999996</v>
      </c>
      <c r="H174" s="466">
        <v>4.5999999999999996</v>
      </c>
      <c r="I174" s="465">
        <v>5.3</v>
      </c>
      <c r="J174" s="468">
        <v>3.7</v>
      </c>
    </row>
    <row r="175" spans="1:10" ht="15.2" customHeight="1" x14ac:dyDescent="0.2">
      <c r="A175" s="473" t="s">
        <v>423</v>
      </c>
      <c r="B175" s="467">
        <v>16.8</v>
      </c>
      <c r="C175" s="465">
        <v>17.8</v>
      </c>
      <c r="D175" s="466">
        <v>17.399999999999999</v>
      </c>
      <c r="E175" s="465">
        <v>19.8</v>
      </c>
      <c r="F175" s="466">
        <v>21.2</v>
      </c>
      <c r="G175" s="465">
        <v>18.7</v>
      </c>
      <c r="H175" s="466">
        <v>20.2</v>
      </c>
      <c r="I175" s="465">
        <v>16.5</v>
      </c>
      <c r="J175" s="468">
        <v>14.4</v>
      </c>
    </row>
    <row r="176" spans="1:10" ht="15.2" customHeight="1" x14ac:dyDescent="0.2">
      <c r="A176" s="473" t="s">
        <v>424</v>
      </c>
      <c r="B176" s="467">
        <v>8.5</v>
      </c>
      <c r="C176" s="465">
        <v>9.3000000000000007</v>
      </c>
      <c r="D176" s="466">
        <v>9.1999999999999993</v>
      </c>
      <c r="E176" s="465">
        <v>11</v>
      </c>
      <c r="F176" s="466">
        <v>11.9</v>
      </c>
      <c r="G176" s="465">
        <v>9.1</v>
      </c>
      <c r="H176" s="466">
        <v>9.1</v>
      </c>
      <c r="I176" s="465">
        <v>6</v>
      </c>
      <c r="J176" s="468">
        <v>6</v>
      </c>
    </row>
    <row r="177" spans="1:10" ht="15.2" customHeight="1" x14ac:dyDescent="0.2">
      <c r="A177" s="473" t="s">
        <v>425</v>
      </c>
      <c r="B177" s="467">
        <v>32.799999999999997</v>
      </c>
      <c r="C177" s="465">
        <v>31.5</v>
      </c>
      <c r="D177" s="466">
        <v>34.1</v>
      </c>
      <c r="E177" s="465">
        <v>34.200000000000003</v>
      </c>
      <c r="F177" s="466">
        <v>33.299999999999997</v>
      </c>
      <c r="G177" s="465">
        <v>35.4</v>
      </c>
      <c r="H177" s="466">
        <v>41.8</v>
      </c>
      <c r="I177" s="465">
        <v>46.6</v>
      </c>
      <c r="J177" s="468">
        <v>44.2</v>
      </c>
    </row>
    <row r="178" spans="1:10" ht="15.2" customHeight="1" x14ac:dyDescent="0.2">
      <c r="A178" s="473" t="s">
        <v>426</v>
      </c>
      <c r="B178" s="467"/>
      <c r="C178" s="465"/>
      <c r="D178" s="466"/>
      <c r="E178" s="465"/>
      <c r="F178" s="466"/>
      <c r="G178" s="465"/>
      <c r="H178" s="466"/>
      <c r="I178" s="465"/>
      <c r="J178" s="468"/>
    </row>
    <row r="179" spans="1:10" ht="15.2" customHeight="1" x14ac:dyDescent="0.2">
      <c r="A179" s="473" t="s">
        <v>427</v>
      </c>
      <c r="B179" s="467">
        <v>87.6</v>
      </c>
      <c r="C179" s="465">
        <v>88.8</v>
      </c>
      <c r="D179" s="466">
        <v>86.3</v>
      </c>
      <c r="E179" s="465">
        <v>85.6</v>
      </c>
      <c r="F179" s="466">
        <v>79.900000000000006</v>
      </c>
      <c r="G179" s="465">
        <v>78.8</v>
      </c>
      <c r="H179" s="466">
        <v>76.599999999999994</v>
      </c>
      <c r="I179" s="465">
        <v>71.2</v>
      </c>
      <c r="J179" s="468">
        <v>77</v>
      </c>
    </row>
    <row r="180" spans="1:10" ht="15.2" customHeight="1" x14ac:dyDescent="0.2">
      <c r="A180" s="473" t="s">
        <v>428</v>
      </c>
      <c r="B180" s="467">
        <v>13.1</v>
      </c>
      <c r="C180" s="465">
        <v>12.4</v>
      </c>
      <c r="D180" s="466">
        <v>11.6</v>
      </c>
      <c r="E180" s="465">
        <v>9.5</v>
      </c>
      <c r="F180" s="466">
        <v>10.1</v>
      </c>
      <c r="G180" s="465">
        <v>9</v>
      </c>
      <c r="H180" s="466">
        <v>10.3</v>
      </c>
      <c r="I180" s="465">
        <v>10</v>
      </c>
      <c r="J180" s="468">
        <v>10.9</v>
      </c>
    </row>
    <row r="181" spans="1:10" ht="15.2" customHeight="1" x14ac:dyDescent="0.2">
      <c r="A181" s="473" t="s">
        <v>429</v>
      </c>
      <c r="B181" s="467">
        <v>-54.5</v>
      </c>
      <c r="C181" s="465">
        <v>-55</v>
      </c>
      <c r="D181" s="466">
        <v>-54.9</v>
      </c>
      <c r="E181" s="465">
        <v>-55.9</v>
      </c>
      <c r="F181" s="466">
        <v>-50.6</v>
      </c>
      <c r="G181" s="465">
        <v>-51</v>
      </c>
      <c r="H181" s="466">
        <v>-47.8</v>
      </c>
      <c r="I181" s="465">
        <v>-43.6</v>
      </c>
      <c r="J181" s="468">
        <v>-45.8</v>
      </c>
    </row>
    <row r="182" spans="1:10" ht="15.2" customHeight="1" x14ac:dyDescent="0.2">
      <c r="A182" s="473" t="s">
        <v>430</v>
      </c>
      <c r="B182" s="467">
        <v>1444853</v>
      </c>
      <c r="C182" s="465">
        <v>1477067</v>
      </c>
      <c r="D182" s="466">
        <v>1681851</v>
      </c>
      <c r="E182" s="465">
        <v>1640114</v>
      </c>
      <c r="F182" s="466">
        <v>1931325</v>
      </c>
      <c r="G182" s="465">
        <v>1824572</v>
      </c>
      <c r="H182" s="466">
        <v>2175009</v>
      </c>
      <c r="I182" s="465">
        <v>2223586</v>
      </c>
      <c r="J182" s="468">
        <v>2064465</v>
      </c>
    </row>
    <row r="183" spans="1:10" ht="15.2" customHeight="1" x14ac:dyDescent="0.2">
      <c r="A183" s="473" t="s">
        <v>431</v>
      </c>
      <c r="B183" s="467">
        <v>40272336</v>
      </c>
      <c r="C183" s="465">
        <v>43402657</v>
      </c>
      <c r="D183" s="466">
        <v>53113739</v>
      </c>
      <c r="E183" s="465">
        <v>62873040</v>
      </c>
      <c r="F183" s="466">
        <v>69588966</v>
      </c>
      <c r="G183" s="465">
        <v>73778340</v>
      </c>
      <c r="H183" s="466">
        <v>77277947</v>
      </c>
      <c r="I183" s="465">
        <v>81345011</v>
      </c>
      <c r="J183" s="468">
        <v>69092896</v>
      </c>
    </row>
    <row r="184" spans="1:10" ht="15.2" customHeight="1" x14ac:dyDescent="0.2">
      <c r="A184" s="473" t="s">
        <v>432</v>
      </c>
      <c r="B184" s="467">
        <v>7457314</v>
      </c>
      <c r="C184" s="465">
        <v>8017913</v>
      </c>
      <c r="D184" s="466">
        <v>9673085</v>
      </c>
      <c r="E184" s="465">
        <v>11265810</v>
      </c>
      <c r="F184" s="466">
        <v>11587076</v>
      </c>
      <c r="G184" s="465">
        <v>12126025</v>
      </c>
      <c r="H184" s="466">
        <v>12300386</v>
      </c>
      <c r="I184" s="465">
        <v>11943030</v>
      </c>
      <c r="J184" s="468">
        <v>10731330</v>
      </c>
    </row>
    <row r="185" spans="1:10" ht="15.2" customHeight="1" x14ac:dyDescent="0.2">
      <c r="A185" s="473" t="s">
        <v>433</v>
      </c>
      <c r="B185" s="467">
        <v>31059612</v>
      </c>
      <c r="C185" s="465">
        <v>32947191</v>
      </c>
      <c r="D185" s="466">
        <v>40934624</v>
      </c>
      <c r="E185" s="465">
        <v>48058789</v>
      </c>
      <c r="F185" s="466">
        <v>52947367</v>
      </c>
      <c r="G185" s="465">
        <v>56151602</v>
      </c>
      <c r="H185" s="466">
        <v>58621876</v>
      </c>
      <c r="I185" s="465">
        <v>61242207</v>
      </c>
      <c r="J185" s="468">
        <v>50885889</v>
      </c>
    </row>
    <row r="186" spans="1:10" ht="15.2" customHeight="1" x14ac:dyDescent="0.2">
      <c r="A186" s="473" t="s">
        <v>434</v>
      </c>
      <c r="B186" s="467"/>
      <c r="C186" s="465"/>
      <c r="D186" s="466"/>
      <c r="E186" s="465"/>
      <c r="F186" s="466"/>
      <c r="G186" s="465"/>
      <c r="H186" s="466"/>
      <c r="I186" s="465"/>
      <c r="J186" s="468"/>
    </row>
    <row r="187" spans="1:10" ht="15.2" customHeight="1" x14ac:dyDescent="0.2">
      <c r="A187" s="473" t="s">
        <v>435</v>
      </c>
      <c r="B187" s="467">
        <v>243965</v>
      </c>
      <c r="C187" s="465">
        <v>262085</v>
      </c>
      <c r="D187" s="466">
        <v>305671</v>
      </c>
      <c r="E187" s="465">
        <v>353942</v>
      </c>
      <c r="F187" s="466">
        <v>383296</v>
      </c>
      <c r="G187" s="465">
        <v>389125</v>
      </c>
      <c r="H187" s="466">
        <v>394295</v>
      </c>
      <c r="I187" s="465">
        <v>410374</v>
      </c>
      <c r="J187" s="468">
        <v>343226</v>
      </c>
    </row>
    <row r="188" spans="1:10" ht="15.2" customHeight="1" x14ac:dyDescent="0.2">
      <c r="A188" s="473" t="s">
        <v>436</v>
      </c>
      <c r="B188" s="467">
        <v>174900</v>
      </c>
      <c r="C188" s="465">
        <v>191697</v>
      </c>
      <c r="D188" s="466">
        <v>226909</v>
      </c>
      <c r="E188" s="465">
        <v>263280</v>
      </c>
      <c r="F188" s="466">
        <v>294294</v>
      </c>
      <c r="G188" s="465">
        <v>314302</v>
      </c>
      <c r="H188" s="466">
        <v>318583</v>
      </c>
      <c r="I188" s="465">
        <v>333691</v>
      </c>
      <c r="J188" s="468">
        <v>287555</v>
      </c>
    </row>
    <row r="189" spans="1:10" ht="15.2" customHeight="1" x14ac:dyDescent="0.2">
      <c r="A189" s="473" t="s">
        <v>437</v>
      </c>
      <c r="B189" s="467">
        <v>69065</v>
      </c>
      <c r="C189" s="465">
        <v>70388</v>
      </c>
      <c r="D189" s="466">
        <v>78762</v>
      </c>
      <c r="E189" s="465">
        <v>90662</v>
      </c>
      <c r="F189" s="466">
        <v>89002</v>
      </c>
      <c r="G189" s="465">
        <v>74823</v>
      </c>
      <c r="H189" s="466">
        <v>75712</v>
      </c>
      <c r="I189" s="465">
        <v>76683</v>
      </c>
      <c r="J189" s="468">
        <v>55671</v>
      </c>
    </row>
    <row r="190" spans="1:10" ht="15.2" customHeight="1" x14ac:dyDescent="0.2">
      <c r="A190" s="473" t="s">
        <v>52</v>
      </c>
      <c r="B190" s="467"/>
      <c r="C190" s="465"/>
      <c r="D190" s="466"/>
      <c r="E190" s="465"/>
      <c r="F190" s="466"/>
      <c r="G190" s="465"/>
      <c r="H190" s="466"/>
      <c r="I190" s="465"/>
      <c r="J190" s="468"/>
    </row>
    <row r="191" spans="1:10" ht="15.2" customHeight="1" x14ac:dyDescent="0.2">
      <c r="A191" s="473" t="s">
        <v>438</v>
      </c>
      <c r="B191" s="467">
        <v>4888498</v>
      </c>
      <c r="C191" s="465">
        <v>5341409</v>
      </c>
      <c r="D191" s="466">
        <v>6372520</v>
      </c>
      <c r="E191" s="465">
        <v>7485868</v>
      </c>
      <c r="F191" s="466">
        <v>8350369</v>
      </c>
      <c r="G191" s="465">
        <v>8946722</v>
      </c>
      <c r="H191" s="466">
        <v>9323705</v>
      </c>
      <c r="I191" s="465">
        <v>9921895</v>
      </c>
      <c r="J191" s="468">
        <v>8598042</v>
      </c>
    </row>
    <row r="192" spans="1:10" ht="15.2" customHeight="1" x14ac:dyDescent="0.2">
      <c r="A192" s="473" t="s">
        <v>439</v>
      </c>
      <c r="B192" s="467">
        <v>3750649</v>
      </c>
      <c r="C192" s="465">
        <v>4108470</v>
      </c>
      <c r="D192" s="466">
        <v>4898634</v>
      </c>
      <c r="E192" s="465">
        <v>5763751</v>
      </c>
      <c r="F192" s="466">
        <v>6421971</v>
      </c>
      <c r="G192" s="465">
        <v>6881026</v>
      </c>
      <c r="H192" s="466">
        <v>7158527</v>
      </c>
      <c r="I192" s="465">
        <v>7620072</v>
      </c>
      <c r="J192" s="468">
        <v>6622468</v>
      </c>
    </row>
    <row r="193" spans="1:10" ht="15.2" customHeight="1" x14ac:dyDescent="0.2">
      <c r="A193" s="473" t="s">
        <v>440</v>
      </c>
      <c r="B193" s="467">
        <v>1137849</v>
      </c>
      <c r="C193" s="465">
        <v>1232939</v>
      </c>
      <c r="D193" s="466">
        <v>1473886</v>
      </c>
      <c r="E193" s="465">
        <v>1722117</v>
      </c>
      <c r="F193" s="466">
        <v>1928398</v>
      </c>
      <c r="G193" s="465">
        <v>2065696</v>
      </c>
      <c r="H193" s="466">
        <v>2165178</v>
      </c>
      <c r="I193" s="465">
        <v>2301823</v>
      </c>
      <c r="J193" s="468">
        <v>1975574</v>
      </c>
    </row>
    <row r="194" spans="1:10" ht="15.2" customHeight="1" x14ac:dyDescent="0.2">
      <c r="A194" s="473" t="s">
        <v>441</v>
      </c>
      <c r="B194" s="467">
        <v>1032647</v>
      </c>
      <c r="C194" s="465">
        <v>1128662</v>
      </c>
      <c r="D194" s="466">
        <v>1359457</v>
      </c>
      <c r="E194" s="465">
        <v>1590635</v>
      </c>
      <c r="F194" s="466">
        <v>1787512</v>
      </c>
      <c r="G194" s="465">
        <v>1895096</v>
      </c>
      <c r="H194" s="466">
        <v>1968423</v>
      </c>
      <c r="I194" s="465">
        <v>2115276</v>
      </c>
      <c r="J194" s="468">
        <v>1850332</v>
      </c>
    </row>
    <row r="195" spans="1:10" ht="15.2" customHeight="1" x14ac:dyDescent="0.2">
      <c r="A195" s="473" t="s">
        <v>442</v>
      </c>
      <c r="B195" s="467">
        <v>1108</v>
      </c>
      <c r="C195" s="465">
        <v>928</v>
      </c>
      <c r="D195" s="466">
        <v>912</v>
      </c>
      <c r="E195" s="465">
        <v>1240</v>
      </c>
      <c r="F195" s="466">
        <v>1580</v>
      </c>
      <c r="G195" s="465">
        <v>1303</v>
      </c>
      <c r="H195" s="466">
        <v>1117</v>
      </c>
      <c r="I195" s="465">
        <v>2058</v>
      </c>
      <c r="J195" s="468">
        <v>1847</v>
      </c>
    </row>
    <row r="196" spans="1:10" ht="15.2" customHeight="1" x14ac:dyDescent="0.2">
      <c r="A196" s="473" t="s">
        <v>443</v>
      </c>
      <c r="B196" s="467">
        <v>2169</v>
      </c>
      <c r="C196" s="465">
        <v>323</v>
      </c>
      <c r="D196" s="466">
        <v>142</v>
      </c>
      <c r="E196" s="465">
        <v>1571</v>
      </c>
      <c r="F196" s="466">
        <v>654</v>
      </c>
      <c r="G196" s="465">
        <v>855</v>
      </c>
      <c r="H196" s="466">
        <v>435</v>
      </c>
      <c r="I196" s="465">
        <v>12679</v>
      </c>
      <c r="J196" s="468">
        <v>4609</v>
      </c>
    </row>
    <row r="197" spans="1:10" ht="15.2" customHeight="1" x14ac:dyDescent="0.2">
      <c r="A197" s="473" t="s">
        <v>444</v>
      </c>
      <c r="B197" s="467">
        <v>73230</v>
      </c>
      <c r="C197" s="465">
        <v>74573</v>
      </c>
      <c r="D197" s="466">
        <v>86694</v>
      </c>
      <c r="E197" s="465">
        <v>100765</v>
      </c>
      <c r="F197" s="466">
        <v>107061</v>
      </c>
      <c r="G197" s="465">
        <v>133844</v>
      </c>
      <c r="H197" s="466">
        <v>127074</v>
      </c>
      <c r="I197" s="465">
        <v>97186</v>
      </c>
      <c r="J197" s="468">
        <v>73080</v>
      </c>
    </row>
    <row r="198" spans="1:10" ht="15.2" customHeight="1" x14ac:dyDescent="0.2">
      <c r="A198" s="473" t="s">
        <v>445</v>
      </c>
      <c r="B198" s="467">
        <v>28695</v>
      </c>
      <c r="C198" s="465">
        <v>28453</v>
      </c>
      <c r="D198" s="466">
        <v>26681</v>
      </c>
      <c r="E198" s="465">
        <v>27906</v>
      </c>
      <c r="F198" s="466">
        <v>31591</v>
      </c>
      <c r="G198" s="465">
        <v>34598</v>
      </c>
      <c r="H198" s="466">
        <v>68129</v>
      </c>
      <c r="I198" s="465">
        <v>74624</v>
      </c>
      <c r="J198" s="468">
        <v>45706</v>
      </c>
    </row>
    <row r="199" spans="1:10" ht="15.2" customHeight="1" x14ac:dyDescent="0.2">
      <c r="A199" s="473" t="s">
        <v>446</v>
      </c>
      <c r="B199" s="467"/>
      <c r="C199" s="465"/>
      <c r="D199" s="466"/>
      <c r="E199" s="465"/>
      <c r="F199" s="466"/>
      <c r="G199" s="465"/>
      <c r="H199" s="466"/>
      <c r="I199" s="465"/>
      <c r="J199" s="468"/>
    </row>
    <row r="200" spans="1:10" ht="15.2" customHeight="1" x14ac:dyDescent="0.2">
      <c r="A200" s="473" t="s">
        <v>447</v>
      </c>
      <c r="B200" s="467">
        <v>4907989</v>
      </c>
      <c r="C200" s="465">
        <v>5351580</v>
      </c>
      <c r="D200" s="466">
        <v>6400031</v>
      </c>
      <c r="E200" s="465">
        <v>7498789</v>
      </c>
      <c r="F200" s="466">
        <v>8379810</v>
      </c>
      <c r="G200" s="465">
        <v>8972621</v>
      </c>
      <c r="H200" s="466">
        <v>9402301</v>
      </c>
      <c r="I200" s="465">
        <v>10015108</v>
      </c>
      <c r="J200" s="468">
        <v>8775754</v>
      </c>
    </row>
    <row r="201" spans="1:10" ht="15.2" customHeight="1" x14ac:dyDescent="0.2">
      <c r="A201" s="473" t="s">
        <v>448</v>
      </c>
      <c r="B201" s="467">
        <v>4888498</v>
      </c>
      <c r="C201" s="465">
        <v>5341409</v>
      </c>
      <c r="D201" s="466">
        <v>6372520</v>
      </c>
      <c r="E201" s="465">
        <v>7485868</v>
      </c>
      <c r="F201" s="466">
        <v>8350369</v>
      </c>
      <c r="G201" s="465">
        <v>8946722</v>
      </c>
      <c r="H201" s="466">
        <v>9323705</v>
      </c>
      <c r="I201" s="465">
        <v>9921895</v>
      </c>
      <c r="J201" s="468">
        <v>8598042</v>
      </c>
    </row>
    <row r="202" spans="1:10" ht="15.2" customHeight="1" x14ac:dyDescent="0.2">
      <c r="A202" s="473" t="s">
        <v>449</v>
      </c>
      <c r="B202" s="467">
        <v>19491</v>
      </c>
      <c r="C202" s="465">
        <v>10171</v>
      </c>
      <c r="D202" s="466">
        <v>27511</v>
      </c>
      <c r="E202" s="465">
        <v>12921</v>
      </c>
      <c r="F202" s="466">
        <v>29441</v>
      </c>
      <c r="G202" s="465">
        <v>25899</v>
      </c>
      <c r="H202" s="466">
        <v>78596</v>
      </c>
      <c r="I202" s="465">
        <v>93213</v>
      </c>
      <c r="J202" s="468">
        <v>177712</v>
      </c>
    </row>
    <row r="203" spans="1:10" ht="15.2" customHeight="1" x14ac:dyDescent="0.2">
      <c r="A203" s="473" t="s">
        <v>450</v>
      </c>
      <c r="B203" s="467"/>
      <c r="C203" s="465"/>
      <c r="D203" s="466"/>
      <c r="E203" s="465"/>
      <c r="F203" s="466"/>
      <c r="G203" s="465"/>
      <c r="H203" s="466"/>
      <c r="I203" s="465"/>
      <c r="J203" s="468"/>
    </row>
    <row r="204" spans="1:10" ht="15.2" customHeight="1" x14ac:dyDescent="0.2">
      <c r="A204" s="473" t="s">
        <v>451</v>
      </c>
      <c r="B204" s="467">
        <v>20037.7</v>
      </c>
      <c r="C204" s="465">
        <v>20380.400000000001</v>
      </c>
      <c r="D204" s="466">
        <v>20847.599999999999</v>
      </c>
      <c r="E204" s="465">
        <v>21150</v>
      </c>
      <c r="F204" s="466">
        <v>21785.7</v>
      </c>
      <c r="G204" s="465">
        <v>22991.9</v>
      </c>
      <c r="H204" s="466">
        <v>23646.5</v>
      </c>
      <c r="I204" s="465">
        <v>24177.7</v>
      </c>
      <c r="J204" s="468">
        <v>25050.7</v>
      </c>
    </row>
    <row r="205" spans="1:10" ht="15.2" customHeight="1" thickBot="1" x14ac:dyDescent="0.25">
      <c r="A205" s="474" t="s">
        <v>452</v>
      </c>
      <c r="B205" s="469">
        <v>20117.599999999999</v>
      </c>
      <c r="C205" s="470">
        <v>20419.3</v>
      </c>
      <c r="D205" s="471">
        <v>20937.599999999999</v>
      </c>
      <c r="E205" s="470">
        <v>21186.5</v>
      </c>
      <c r="F205" s="471">
        <v>21862.5</v>
      </c>
      <c r="G205" s="470">
        <v>23058.5</v>
      </c>
      <c r="H205" s="471">
        <v>23845.9</v>
      </c>
      <c r="I205" s="470">
        <v>24404.799999999999</v>
      </c>
      <c r="J205" s="472">
        <v>25568.400000000001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3"/>
  <sheetViews>
    <sheetView topLeftCell="A17" zoomScale="85" zoomScaleNormal="85" workbookViewId="0">
      <selection activeCell="K31" sqref="K31"/>
    </sheetView>
  </sheetViews>
  <sheetFormatPr baseColWidth="10" defaultRowHeight="15" x14ac:dyDescent="0.25"/>
  <cols>
    <col min="6" max="6" width="20" bestFit="1" customWidth="1"/>
    <col min="7" max="7" width="13" style="493" bestFit="1" customWidth="1"/>
    <col min="8" max="8" width="12" style="493" bestFit="1" customWidth="1"/>
    <col min="9" max="9" width="29.140625" customWidth="1"/>
  </cols>
  <sheetData>
    <row r="1" spans="2:9" s="131" customFormat="1" x14ac:dyDescent="0.25">
      <c r="G1" s="493"/>
      <c r="H1" s="493"/>
    </row>
    <row r="2" spans="2:9" s="131" customFormat="1" x14ac:dyDescent="0.25">
      <c r="G2" s="493"/>
      <c r="H2" s="493"/>
    </row>
    <row r="3" spans="2:9" s="131" customFormat="1" x14ac:dyDescent="0.25">
      <c r="G3" s="493"/>
      <c r="H3" s="493"/>
    </row>
    <row r="5" spans="2:9" x14ac:dyDescent="0.25">
      <c r="B5" t="s">
        <v>845</v>
      </c>
      <c r="F5" s="544" t="s">
        <v>779</v>
      </c>
      <c r="G5" s="545">
        <f>Indicadores!D160</f>
        <v>3000</v>
      </c>
      <c r="H5" s="545">
        <f>G5</f>
        <v>3000</v>
      </c>
      <c r="I5" s="545" t="s">
        <v>796</v>
      </c>
    </row>
    <row r="6" spans="2:9" x14ac:dyDescent="0.25">
      <c r="B6" t="s">
        <v>846</v>
      </c>
      <c r="F6" s="546" t="s">
        <v>779</v>
      </c>
      <c r="G6" s="547">
        <f>Indicadores!D159-Indicadores!D160</f>
        <v>7000</v>
      </c>
      <c r="H6" s="547">
        <f t="shared" ref="H6:H24" si="0">G6</f>
        <v>7000</v>
      </c>
      <c r="I6" s="547" t="s">
        <v>780</v>
      </c>
    </row>
    <row r="7" spans="2:9" s="131" customFormat="1" x14ac:dyDescent="0.25">
      <c r="B7" s="131" t="s">
        <v>847</v>
      </c>
      <c r="F7" s="546" t="s">
        <v>779</v>
      </c>
      <c r="G7" s="547">
        <f>Indicadores!E162</f>
        <v>2000</v>
      </c>
      <c r="H7" s="547">
        <f t="shared" si="0"/>
        <v>2000</v>
      </c>
      <c r="I7" s="547" t="s">
        <v>810</v>
      </c>
    </row>
    <row r="8" spans="2:9" s="131" customFormat="1" x14ac:dyDescent="0.25">
      <c r="B8" s="131" t="s">
        <v>848</v>
      </c>
      <c r="F8" s="542" t="s">
        <v>779</v>
      </c>
      <c r="G8" s="543">
        <f>Indicadores!E166</f>
        <v>5305</v>
      </c>
      <c r="H8" s="543">
        <f t="shared" si="0"/>
        <v>5305</v>
      </c>
      <c r="I8" s="543" t="s">
        <v>811</v>
      </c>
    </row>
    <row r="10" spans="2:9" x14ac:dyDescent="0.25">
      <c r="B10" t="s">
        <v>849</v>
      </c>
      <c r="F10" s="546" t="s">
        <v>850</v>
      </c>
      <c r="G10" s="547">
        <f>Indicadores!E107</f>
        <v>3700</v>
      </c>
      <c r="H10" s="547">
        <f t="shared" si="0"/>
        <v>3700</v>
      </c>
      <c r="I10" s="546" t="s">
        <v>779</v>
      </c>
    </row>
    <row r="11" spans="2:9" x14ac:dyDescent="0.25">
      <c r="B11" t="s">
        <v>851</v>
      </c>
      <c r="F11" s="546" t="s">
        <v>780</v>
      </c>
      <c r="G11" s="547">
        <f>Indicadores!E117</f>
        <v>2360</v>
      </c>
      <c r="H11" s="547">
        <f t="shared" si="0"/>
        <v>2360</v>
      </c>
      <c r="I11" s="546" t="s">
        <v>779</v>
      </c>
    </row>
    <row r="12" spans="2:9" x14ac:dyDescent="0.25">
      <c r="B12" t="s">
        <v>852</v>
      </c>
      <c r="F12" s="546" t="s">
        <v>781</v>
      </c>
      <c r="G12" s="547">
        <f>Indicadores!D128</f>
        <v>600</v>
      </c>
      <c r="H12" s="547">
        <f t="shared" si="0"/>
        <v>600</v>
      </c>
      <c r="I12" s="546" t="s">
        <v>779</v>
      </c>
    </row>
    <row r="13" spans="2:9" s="131" customFormat="1" x14ac:dyDescent="0.25">
      <c r="B13" s="131" t="s">
        <v>853</v>
      </c>
      <c r="F13" s="546" t="s">
        <v>793</v>
      </c>
      <c r="G13" s="547">
        <v>2000</v>
      </c>
      <c r="H13" s="547">
        <f t="shared" si="0"/>
        <v>2000</v>
      </c>
      <c r="I13" s="546" t="s">
        <v>779</v>
      </c>
    </row>
    <row r="14" spans="2:9" s="131" customFormat="1" x14ac:dyDescent="0.25">
      <c r="B14" s="131" t="s">
        <v>854</v>
      </c>
      <c r="F14" s="546" t="s">
        <v>794</v>
      </c>
      <c r="G14" s="547">
        <f>Indicadores!D132</f>
        <v>2100</v>
      </c>
      <c r="H14" s="547">
        <f t="shared" si="0"/>
        <v>2100</v>
      </c>
      <c r="I14" s="546" t="s">
        <v>779</v>
      </c>
    </row>
    <row r="15" spans="2:9" s="131" customFormat="1" x14ac:dyDescent="0.25">
      <c r="B15" s="131" t="s">
        <v>855</v>
      </c>
      <c r="F15" s="542" t="s">
        <v>795</v>
      </c>
      <c r="G15" s="543">
        <f>Indicadores!D133+Indicadores!D134</f>
        <v>3000</v>
      </c>
      <c r="H15" s="543">
        <f t="shared" si="0"/>
        <v>3000</v>
      </c>
      <c r="I15" s="542" t="s">
        <v>796</v>
      </c>
    </row>
    <row r="16" spans="2:9" s="131" customFormat="1" x14ac:dyDescent="0.25">
      <c r="G16" s="493"/>
      <c r="H16" s="493"/>
    </row>
    <row r="17" spans="2:9" s="131" customFormat="1" x14ac:dyDescent="0.25">
      <c r="B17" s="131" t="s">
        <v>856</v>
      </c>
      <c r="F17" s="546" t="s">
        <v>799</v>
      </c>
      <c r="G17" s="547">
        <f>SUM(Indicadores!D138:D144)+Indicadores!D149</f>
        <v>1265</v>
      </c>
      <c r="H17" s="547">
        <f t="shared" si="0"/>
        <v>1265</v>
      </c>
      <c r="I17" s="546" t="s">
        <v>779</v>
      </c>
    </row>
    <row r="18" spans="2:9" s="131" customFormat="1" x14ac:dyDescent="0.25">
      <c r="B18" s="131" t="s">
        <v>857</v>
      </c>
      <c r="F18" s="546" t="s">
        <v>808</v>
      </c>
      <c r="G18" s="547">
        <f>Indicadores!D145+Indicadores!D146+Indicadores!D147+Indicadores!D148</f>
        <v>5280</v>
      </c>
      <c r="H18" s="547">
        <f t="shared" si="0"/>
        <v>5280</v>
      </c>
      <c r="I18" s="546" t="s">
        <v>779</v>
      </c>
    </row>
    <row r="19" spans="2:9" s="131" customFormat="1" x14ac:dyDescent="0.25">
      <c r="G19" s="493"/>
      <c r="H19" s="493"/>
    </row>
    <row r="20" spans="2:9" s="131" customFormat="1" x14ac:dyDescent="0.25">
      <c r="B20" s="131" t="s">
        <v>859</v>
      </c>
      <c r="F20" s="546" t="s">
        <v>858</v>
      </c>
      <c r="G20" s="547">
        <f>Indicadores!D229</f>
        <v>26.525000000000002</v>
      </c>
      <c r="H20" s="547">
        <f t="shared" si="0"/>
        <v>26.525000000000002</v>
      </c>
      <c r="I20" s="546" t="s">
        <v>779</v>
      </c>
    </row>
    <row r="21" spans="2:9" s="131" customFormat="1" x14ac:dyDescent="0.25">
      <c r="B21" s="131" t="s">
        <v>860</v>
      </c>
      <c r="F21" s="546" t="s">
        <v>814</v>
      </c>
      <c r="G21" s="547">
        <f>Indicadores!D230</f>
        <v>76.035512113615084</v>
      </c>
      <c r="H21" s="547">
        <f t="shared" si="0"/>
        <v>76.035512113615084</v>
      </c>
      <c r="I21" s="546" t="s">
        <v>779</v>
      </c>
    </row>
    <row r="22" spans="2:9" s="131" customFormat="1" x14ac:dyDescent="0.25">
      <c r="G22" s="493"/>
      <c r="H22" s="493"/>
    </row>
    <row r="23" spans="2:9" s="131" customFormat="1" x14ac:dyDescent="0.25">
      <c r="B23" s="131" t="s">
        <v>861</v>
      </c>
      <c r="F23" s="546" t="s">
        <v>779</v>
      </c>
      <c r="G23" s="547">
        <f>Indicadores!D215</f>
        <v>18000</v>
      </c>
      <c r="H23" s="547">
        <f t="shared" si="0"/>
        <v>18000</v>
      </c>
      <c r="I23" s="546" t="s">
        <v>815</v>
      </c>
    </row>
    <row r="24" spans="2:9" s="131" customFormat="1" x14ac:dyDescent="0.25">
      <c r="B24" s="131" t="s">
        <v>862</v>
      </c>
      <c r="F24" s="546" t="s">
        <v>816</v>
      </c>
      <c r="G24" s="547">
        <f>Indicadores!D220</f>
        <v>9000</v>
      </c>
      <c r="H24" s="547">
        <f t="shared" si="0"/>
        <v>9000</v>
      </c>
      <c r="I24" s="546" t="s">
        <v>817</v>
      </c>
    </row>
    <row r="25" spans="2:9" s="131" customFormat="1" x14ac:dyDescent="0.25">
      <c r="G25" s="493"/>
      <c r="H25" s="493"/>
    </row>
    <row r="26" spans="2:9" s="131" customFormat="1" x14ac:dyDescent="0.25">
      <c r="B26" s="7"/>
      <c r="C26" s="7"/>
      <c r="D26" s="7"/>
      <c r="E26" s="552" t="s">
        <v>864</v>
      </c>
      <c r="F26" s="544"/>
      <c r="G26" s="545">
        <f>SUM(G5:G8)+G23</f>
        <v>35305</v>
      </c>
      <c r="H26" s="548"/>
    </row>
    <row r="27" spans="2:9" s="131" customFormat="1" x14ac:dyDescent="0.25">
      <c r="B27" s="7"/>
      <c r="C27" s="7"/>
      <c r="D27" s="7"/>
      <c r="E27" s="553" t="s">
        <v>865</v>
      </c>
      <c r="F27" s="7"/>
      <c r="G27" s="541"/>
      <c r="H27" s="549">
        <f>SUM(H10:H14)+SUM(H17:H21)+H24</f>
        <v>26407.560512113614</v>
      </c>
    </row>
    <row r="28" spans="2:9" s="131" customFormat="1" x14ac:dyDescent="0.25">
      <c r="B28" s="7"/>
      <c r="C28" s="7"/>
      <c r="D28" s="7"/>
      <c r="E28" s="550"/>
      <c r="F28" s="542" t="s">
        <v>863</v>
      </c>
      <c r="G28" s="543">
        <f>G26-H27</f>
        <v>8897.4394878863859</v>
      </c>
      <c r="H28" s="551"/>
    </row>
    <row r="29" spans="2:9" s="495" customFormat="1" x14ac:dyDescent="0.25">
      <c r="G29" s="496"/>
      <c r="H29" s="496"/>
    </row>
    <row r="30" spans="2:9" s="131" customFormat="1" x14ac:dyDescent="0.25">
      <c r="G30" s="493"/>
      <c r="H30" s="493"/>
    </row>
    <row r="31" spans="2:9" x14ac:dyDescent="0.25">
      <c r="B31" s="131" t="s">
        <v>867</v>
      </c>
      <c r="F31" s="546" t="s">
        <v>782</v>
      </c>
      <c r="G31" s="547">
        <f>Indicadores!E225</f>
        <v>600</v>
      </c>
      <c r="H31" s="547">
        <f t="shared" ref="H31:H41" si="1">G31</f>
        <v>600</v>
      </c>
      <c r="I31" s="546" t="s">
        <v>779</v>
      </c>
    </row>
    <row r="32" spans="2:9" x14ac:dyDescent="0.25">
      <c r="F32" s="546" t="s">
        <v>783</v>
      </c>
      <c r="G32" s="547">
        <f>Indicadores!F225</f>
        <v>600</v>
      </c>
      <c r="H32" s="547">
        <f t="shared" si="1"/>
        <v>600</v>
      </c>
      <c r="I32" s="546" t="s">
        <v>779</v>
      </c>
    </row>
    <row r="33" spans="2:9" x14ac:dyDescent="0.25">
      <c r="F33" s="546" t="s">
        <v>784</v>
      </c>
      <c r="G33" s="547">
        <f>Indicadores!G225</f>
        <v>600</v>
      </c>
      <c r="H33" s="547">
        <f t="shared" si="1"/>
        <v>600</v>
      </c>
      <c r="I33" s="546" t="s">
        <v>779</v>
      </c>
    </row>
    <row r="34" spans="2:9" x14ac:dyDescent="0.25">
      <c r="F34" s="546" t="s">
        <v>785</v>
      </c>
      <c r="G34" s="547">
        <f>Indicadores!H225</f>
        <v>600</v>
      </c>
      <c r="H34" s="547">
        <f t="shared" si="1"/>
        <v>600</v>
      </c>
      <c r="I34" s="546" t="s">
        <v>779</v>
      </c>
    </row>
    <row r="35" spans="2:9" x14ac:dyDescent="0.25">
      <c r="F35" s="546" t="s">
        <v>786</v>
      </c>
      <c r="G35" s="547">
        <f>Indicadores!I225</f>
        <v>600</v>
      </c>
      <c r="H35" s="547">
        <f t="shared" si="1"/>
        <v>600</v>
      </c>
      <c r="I35" s="546" t="s">
        <v>779</v>
      </c>
    </row>
    <row r="36" spans="2:9" x14ac:dyDescent="0.25">
      <c r="F36" s="542" t="s">
        <v>787</v>
      </c>
      <c r="G36" s="547">
        <f>Indicadores!J225</f>
        <v>600</v>
      </c>
      <c r="H36" s="543">
        <f t="shared" si="1"/>
        <v>600</v>
      </c>
      <c r="I36" s="542" t="s">
        <v>779</v>
      </c>
    </row>
    <row r="37" spans="2:9" x14ac:dyDescent="0.25">
      <c r="F37" s="546" t="s">
        <v>788</v>
      </c>
      <c r="G37" s="547">
        <f>Indicadores!K225</f>
        <v>600</v>
      </c>
      <c r="H37" s="547">
        <f t="shared" si="1"/>
        <v>600</v>
      </c>
      <c r="I37" s="546" t="s">
        <v>779</v>
      </c>
    </row>
    <row r="38" spans="2:9" x14ac:dyDescent="0.25">
      <c r="F38" s="546" t="s">
        <v>789</v>
      </c>
      <c r="G38" s="547">
        <f>Indicadores!L225</f>
        <v>600</v>
      </c>
      <c r="H38" s="547">
        <f t="shared" si="1"/>
        <v>600</v>
      </c>
      <c r="I38" s="546" t="s">
        <v>779</v>
      </c>
    </row>
    <row r="39" spans="2:9" x14ac:dyDescent="0.25">
      <c r="F39" s="546" t="s">
        <v>790</v>
      </c>
      <c r="G39" s="547">
        <f>Indicadores!M225</f>
        <v>600</v>
      </c>
      <c r="H39" s="547">
        <f t="shared" si="1"/>
        <v>600</v>
      </c>
      <c r="I39" s="546" t="s">
        <v>779</v>
      </c>
    </row>
    <row r="40" spans="2:9" x14ac:dyDescent="0.25">
      <c r="F40" s="546" t="s">
        <v>791</v>
      </c>
      <c r="G40" s="547">
        <f>Indicadores!N225</f>
        <v>600</v>
      </c>
      <c r="H40" s="547">
        <f t="shared" si="1"/>
        <v>600</v>
      </c>
      <c r="I40" s="546" t="s">
        <v>779</v>
      </c>
    </row>
    <row r="41" spans="2:9" x14ac:dyDescent="0.25">
      <c r="F41" s="546" t="s">
        <v>792</v>
      </c>
      <c r="G41" s="547">
        <f>Indicadores!O225</f>
        <v>600</v>
      </c>
      <c r="H41" s="547">
        <f t="shared" si="1"/>
        <v>600</v>
      </c>
      <c r="I41" s="546" t="s">
        <v>779</v>
      </c>
    </row>
    <row r="42" spans="2:9" s="131" customFormat="1" x14ac:dyDescent="0.25">
      <c r="G42" s="493"/>
      <c r="H42" s="493"/>
    </row>
    <row r="43" spans="2:9" s="131" customFormat="1" x14ac:dyDescent="0.25">
      <c r="B43" s="131" t="s">
        <v>866</v>
      </c>
      <c r="F43" s="546" t="s">
        <v>800</v>
      </c>
      <c r="G43" s="547">
        <f>G17</f>
        <v>1265</v>
      </c>
      <c r="H43" s="547">
        <f>G43</f>
        <v>1265</v>
      </c>
      <c r="I43" s="546" t="s">
        <v>779</v>
      </c>
    </row>
    <row r="44" spans="2:9" s="131" customFormat="1" x14ac:dyDescent="0.25">
      <c r="F44" s="546" t="s">
        <v>879</v>
      </c>
      <c r="G44" s="547">
        <f>G43</f>
        <v>1265</v>
      </c>
      <c r="H44" s="547">
        <f>G44</f>
        <v>1265</v>
      </c>
      <c r="I44" s="546" t="s">
        <v>779</v>
      </c>
    </row>
    <row r="45" spans="2:9" s="131" customFormat="1" x14ac:dyDescent="0.25">
      <c r="F45" s="546" t="s">
        <v>802</v>
      </c>
      <c r="G45" s="547">
        <f t="shared" ref="G45:G53" si="2">G44</f>
        <v>1265</v>
      </c>
      <c r="H45" s="547">
        <f t="shared" ref="H45:H53" si="3">G45</f>
        <v>1265</v>
      </c>
      <c r="I45" s="546" t="s">
        <v>779</v>
      </c>
    </row>
    <row r="46" spans="2:9" s="131" customFormat="1" x14ac:dyDescent="0.25">
      <c r="F46" s="546" t="s">
        <v>801</v>
      </c>
      <c r="G46" s="547">
        <f t="shared" si="2"/>
        <v>1265</v>
      </c>
      <c r="H46" s="547">
        <f t="shared" si="3"/>
        <v>1265</v>
      </c>
      <c r="I46" s="546" t="s">
        <v>779</v>
      </c>
    </row>
    <row r="47" spans="2:9" s="131" customFormat="1" x14ac:dyDescent="0.25">
      <c r="F47" s="546" t="s">
        <v>803</v>
      </c>
      <c r="G47" s="547">
        <f t="shared" si="2"/>
        <v>1265</v>
      </c>
      <c r="H47" s="547">
        <f t="shared" si="3"/>
        <v>1265</v>
      </c>
      <c r="I47" s="546" t="s">
        <v>779</v>
      </c>
    </row>
    <row r="48" spans="2:9" s="131" customFormat="1" x14ac:dyDescent="0.25">
      <c r="F48" s="542" t="s">
        <v>803</v>
      </c>
      <c r="G48" s="543">
        <f t="shared" si="2"/>
        <v>1265</v>
      </c>
      <c r="H48" s="543">
        <f t="shared" si="3"/>
        <v>1265</v>
      </c>
      <c r="I48" s="542" t="s">
        <v>779</v>
      </c>
    </row>
    <row r="49" spans="2:9" s="131" customFormat="1" x14ac:dyDescent="0.25">
      <c r="F49" s="546" t="s">
        <v>802</v>
      </c>
      <c r="G49" s="547">
        <f t="shared" si="2"/>
        <v>1265</v>
      </c>
      <c r="H49" s="547">
        <f t="shared" si="3"/>
        <v>1265</v>
      </c>
      <c r="I49" s="546" t="s">
        <v>779</v>
      </c>
    </row>
    <row r="50" spans="2:9" s="131" customFormat="1" x14ac:dyDescent="0.25">
      <c r="F50" s="546" t="s">
        <v>804</v>
      </c>
      <c r="G50" s="547">
        <f t="shared" si="2"/>
        <v>1265</v>
      </c>
      <c r="H50" s="547">
        <f t="shared" si="3"/>
        <v>1265</v>
      </c>
      <c r="I50" s="546" t="s">
        <v>779</v>
      </c>
    </row>
    <row r="51" spans="2:9" s="131" customFormat="1" x14ac:dyDescent="0.25">
      <c r="F51" s="546" t="s">
        <v>805</v>
      </c>
      <c r="G51" s="547">
        <f t="shared" si="2"/>
        <v>1265</v>
      </c>
      <c r="H51" s="547">
        <f t="shared" si="3"/>
        <v>1265</v>
      </c>
      <c r="I51" s="546" t="s">
        <v>779</v>
      </c>
    </row>
    <row r="52" spans="2:9" s="131" customFormat="1" x14ac:dyDescent="0.25">
      <c r="F52" s="546" t="s">
        <v>806</v>
      </c>
      <c r="G52" s="547">
        <f t="shared" si="2"/>
        <v>1265</v>
      </c>
      <c r="H52" s="547">
        <f t="shared" si="3"/>
        <v>1265</v>
      </c>
      <c r="I52" s="546" t="s">
        <v>779</v>
      </c>
    </row>
    <row r="53" spans="2:9" s="131" customFormat="1" x14ac:dyDescent="0.25">
      <c r="F53" s="546" t="s">
        <v>807</v>
      </c>
      <c r="G53" s="547">
        <f t="shared" si="2"/>
        <v>1265</v>
      </c>
      <c r="H53" s="547">
        <f t="shared" si="3"/>
        <v>1265</v>
      </c>
      <c r="I53" s="546" t="s">
        <v>779</v>
      </c>
    </row>
    <row r="54" spans="2:9" s="131" customFormat="1" x14ac:dyDescent="0.25">
      <c r="G54" s="493"/>
      <c r="H54" s="493"/>
    </row>
    <row r="55" spans="2:9" s="131" customFormat="1" x14ac:dyDescent="0.25">
      <c r="B55" s="131" t="s">
        <v>868</v>
      </c>
      <c r="F55" s="546" t="s">
        <v>809</v>
      </c>
      <c r="G55" s="547">
        <f>G18</f>
        <v>5280</v>
      </c>
      <c r="H55" s="547">
        <f>G55</f>
        <v>5280</v>
      </c>
      <c r="I55" s="546" t="s">
        <v>779</v>
      </c>
    </row>
    <row r="56" spans="2:9" s="131" customFormat="1" x14ac:dyDescent="0.25">
      <c r="F56" s="546" t="s">
        <v>801</v>
      </c>
      <c r="G56" s="547">
        <f>G55</f>
        <v>5280</v>
      </c>
      <c r="H56" s="547">
        <f t="shared" ref="H56:H65" si="4">G56</f>
        <v>5280</v>
      </c>
      <c r="I56" s="546" t="s">
        <v>779</v>
      </c>
    </row>
    <row r="57" spans="2:9" s="131" customFormat="1" x14ac:dyDescent="0.25">
      <c r="F57" s="546" t="s">
        <v>802</v>
      </c>
      <c r="G57" s="547">
        <f t="shared" ref="G57:G65" si="5">G56</f>
        <v>5280</v>
      </c>
      <c r="H57" s="547">
        <f t="shared" si="4"/>
        <v>5280</v>
      </c>
      <c r="I57" s="546" t="s">
        <v>779</v>
      </c>
    </row>
    <row r="58" spans="2:9" s="131" customFormat="1" x14ac:dyDescent="0.25">
      <c r="F58" s="546" t="s">
        <v>801</v>
      </c>
      <c r="G58" s="547">
        <f t="shared" si="5"/>
        <v>5280</v>
      </c>
      <c r="H58" s="547">
        <f t="shared" si="4"/>
        <v>5280</v>
      </c>
      <c r="I58" s="546" t="s">
        <v>779</v>
      </c>
    </row>
    <row r="59" spans="2:9" s="131" customFormat="1" x14ac:dyDescent="0.25">
      <c r="F59" s="546" t="s">
        <v>803</v>
      </c>
      <c r="G59" s="547">
        <f t="shared" si="5"/>
        <v>5280</v>
      </c>
      <c r="H59" s="547">
        <f t="shared" si="4"/>
        <v>5280</v>
      </c>
      <c r="I59" s="546" t="s">
        <v>779</v>
      </c>
    </row>
    <row r="60" spans="2:9" s="131" customFormat="1" x14ac:dyDescent="0.25">
      <c r="F60" s="542" t="s">
        <v>803</v>
      </c>
      <c r="G60" s="543">
        <f t="shared" si="5"/>
        <v>5280</v>
      </c>
      <c r="H60" s="543">
        <f t="shared" si="4"/>
        <v>5280</v>
      </c>
      <c r="I60" s="542" t="s">
        <v>779</v>
      </c>
    </row>
    <row r="61" spans="2:9" s="131" customFormat="1" x14ac:dyDescent="0.25">
      <c r="F61" s="546" t="s">
        <v>802</v>
      </c>
      <c r="G61" s="547">
        <f t="shared" si="5"/>
        <v>5280</v>
      </c>
      <c r="H61" s="547">
        <f t="shared" si="4"/>
        <v>5280</v>
      </c>
      <c r="I61" s="546" t="s">
        <v>779</v>
      </c>
    </row>
    <row r="62" spans="2:9" s="131" customFormat="1" x14ac:dyDescent="0.25">
      <c r="F62" s="546" t="s">
        <v>804</v>
      </c>
      <c r="G62" s="547">
        <f t="shared" si="5"/>
        <v>5280</v>
      </c>
      <c r="H62" s="547">
        <f t="shared" si="4"/>
        <v>5280</v>
      </c>
      <c r="I62" s="546" t="s">
        <v>779</v>
      </c>
    </row>
    <row r="63" spans="2:9" s="131" customFormat="1" x14ac:dyDescent="0.25">
      <c r="F63" s="546" t="s">
        <v>805</v>
      </c>
      <c r="G63" s="547">
        <f t="shared" si="5"/>
        <v>5280</v>
      </c>
      <c r="H63" s="547">
        <f t="shared" si="4"/>
        <v>5280</v>
      </c>
      <c r="I63" s="546" t="s">
        <v>779</v>
      </c>
    </row>
    <row r="64" spans="2:9" s="131" customFormat="1" x14ac:dyDescent="0.25">
      <c r="F64" s="546" t="s">
        <v>806</v>
      </c>
      <c r="G64" s="547">
        <f t="shared" si="5"/>
        <v>5280</v>
      </c>
      <c r="H64" s="547">
        <f t="shared" si="4"/>
        <v>5280</v>
      </c>
      <c r="I64" s="546" t="s">
        <v>779</v>
      </c>
    </row>
    <row r="65" spans="2:9" s="131" customFormat="1" x14ac:dyDescent="0.25">
      <c r="F65" s="546" t="s">
        <v>807</v>
      </c>
      <c r="G65" s="547">
        <f t="shared" si="5"/>
        <v>5280</v>
      </c>
      <c r="H65" s="547">
        <f t="shared" si="4"/>
        <v>5280</v>
      </c>
      <c r="I65" s="546" t="s">
        <v>779</v>
      </c>
    </row>
    <row r="66" spans="2:9" s="131" customFormat="1" x14ac:dyDescent="0.25">
      <c r="G66" s="493"/>
      <c r="H66" s="493"/>
    </row>
    <row r="67" spans="2:9" s="131" customFormat="1" x14ac:dyDescent="0.25">
      <c r="G67" s="493"/>
      <c r="H67" s="493"/>
    </row>
    <row r="68" spans="2:9" s="131" customFormat="1" x14ac:dyDescent="0.25">
      <c r="B68" s="131" t="s">
        <v>869</v>
      </c>
      <c r="F68" s="546" t="s">
        <v>812</v>
      </c>
      <c r="G68" s="547">
        <f>Indicadores!E229</f>
        <v>26.144822439431923</v>
      </c>
      <c r="H68" s="547">
        <f>G68</f>
        <v>26.144822439431923</v>
      </c>
      <c r="I68" s="546" t="s">
        <v>779</v>
      </c>
    </row>
    <row r="69" spans="2:9" s="131" customFormat="1" x14ac:dyDescent="0.25">
      <c r="F69" s="546" t="s">
        <v>801</v>
      </c>
      <c r="G69" s="547">
        <f>Indicadores!F229</f>
        <v>25.762743991061001</v>
      </c>
      <c r="H69" s="547">
        <f t="shared" ref="H69:H102" si="6">G69</f>
        <v>25.762743991061001</v>
      </c>
      <c r="I69" s="546" t="s">
        <v>779</v>
      </c>
    </row>
    <row r="70" spans="2:9" s="131" customFormat="1" x14ac:dyDescent="0.25">
      <c r="F70" s="546" t="s">
        <v>802</v>
      </c>
      <c r="G70" s="547">
        <f>Indicadores!G229</f>
        <v>25.378755150448232</v>
      </c>
      <c r="H70" s="547">
        <f t="shared" si="6"/>
        <v>25.378755150448232</v>
      </c>
      <c r="I70" s="546" t="s">
        <v>779</v>
      </c>
    </row>
    <row r="71" spans="2:9" s="131" customFormat="1" x14ac:dyDescent="0.25">
      <c r="F71" s="546" t="s">
        <v>801</v>
      </c>
      <c r="G71" s="547">
        <f>Indicadores!H229</f>
        <v>24.992846365632403</v>
      </c>
      <c r="H71" s="547">
        <f t="shared" si="6"/>
        <v>24.992846365632403</v>
      </c>
      <c r="I71" s="546" t="s">
        <v>779</v>
      </c>
    </row>
    <row r="72" spans="2:9" s="131" customFormat="1" x14ac:dyDescent="0.25">
      <c r="F72" s="546" t="s">
        <v>803</v>
      </c>
      <c r="G72" s="547">
        <f>Indicadores!I229</f>
        <v>24.605008036892492</v>
      </c>
      <c r="H72" s="547">
        <f t="shared" si="6"/>
        <v>24.605008036892492</v>
      </c>
      <c r="I72" s="546" t="s">
        <v>779</v>
      </c>
    </row>
    <row r="73" spans="2:9" s="131" customFormat="1" x14ac:dyDescent="0.25">
      <c r="F73" s="542" t="s">
        <v>803</v>
      </c>
      <c r="G73" s="543">
        <f>Indicadores!J229</f>
        <v>24.215230516508875</v>
      </c>
      <c r="H73" s="543">
        <f t="shared" si="6"/>
        <v>24.215230516508875</v>
      </c>
      <c r="I73" s="542" t="s">
        <v>779</v>
      </c>
    </row>
    <row r="74" spans="2:9" s="131" customFormat="1" x14ac:dyDescent="0.25">
      <c r="F74" s="546" t="s">
        <v>802</v>
      </c>
      <c r="G74" s="547">
        <f>Indicadores!K229</f>
        <v>23.823504108523345</v>
      </c>
      <c r="H74" s="547">
        <f t="shared" si="6"/>
        <v>23.823504108523345</v>
      </c>
      <c r="I74" s="546" t="s">
        <v>779</v>
      </c>
    </row>
    <row r="75" spans="2:9" s="131" customFormat="1" x14ac:dyDescent="0.25">
      <c r="F75" s="546" t="s">
        <v>804</v>
      </c>
      <c r="G75" s="547">
        <f>Indicadores!L229</f>
        <v>23.429819068497881</v>
      </c>
      <c r="H75" s="547">
        <f t="shared" si="6"/>
        <v>23.429819068497881</v>
      </c>
      <c r="I75" s="546" t="s">
        <v>779</v>
      </c>
    </row>
    <row r="76" spans="2:9" s="131" customFormat="1" x14ac:dyDescent="0.25">
      <c r="F76" s="546" t="s">
        <v>805</v>
      </c>
      <c r="G76" s="547">
        <f>Indicadores!M229</f>
        <v>23.034165603272296</v>
      </c>
      <c r="H76" s="547">
        <f t="shared" si="6"/>
        <v>23.034165603272296</v>
      </c>
      <c r="I76" s="546" t="s">
        <v>779</v>
      </c>
    </row>
    <row r="77" spans="2:9" s="131" customFormat="1" x14ac:dyDescent="0.25">
      <c r="F77" s="546" t="s">
        <v>806</v>
      </c>
      <c r="G77" s="547">
        <f>Indicadores!N229</f>
        <v>22.636533870720587</v>
      </c>
      <c r="H77" s="547">
        <f t="shared" si="6"/>
        <v>22.636533870720587</v>
      </c>
      <c r="I77" s="546" t="s">
        <v>779</v>
      </c>
    </row>
    <row r="78" spans="2:9" s="131" customFormat="1" x14ac:dyDescent="0.25">
      <c r="F78" s="546" t="s">
        <v>807</v>
      </c>
      <c r="G78" s="547">
        <f>Indicadores!O229</f>
        <v>22.236913979506113</v>
      </c>
      <c r="H78" s="547">
        <f t="shared" si="6"/>
        <v>22.236913979506113</v>
      </c>
      <c r="I78" s="546" t="s">
        <v>779</v>
      </c>
    </row>
    <row r="79" spans="2:9" s="131" customFormat="1" x14ac:dyDescent="0.25">
      <c r="G79" s="493"/>
      <c r="H79" s="493"/>
    </row>
    <row r="80" spans="2:9" s="131" customFormat="1" x14ac:dyDescent="0.25">
      <c r="B80" s="131" t="s">
        <v>870</v>
      </c>
      <c r="F80" s="546" t="s">
        <v>813</v>
      </c>
      <c r="G80" s="547">
        <f>Indicadores!E230</f>
        <v>76.415689674183156</v>
      </c>
      <c r="H80" s="547">
        <f t="shared" si="6"/>
        <v>76.415689674183156</v>
      </c>
      <c r="I80" s="546" t="s">
        <v>779</v>
      </c>
    </row>
    <row r="81" spans="2:9" s="131" customFormat="1" x14ac:dyDescent="0.25">
      <c r="F81" s="546" t="s">
        <v>801</v>
      </c>
      <c r="G81" s="547">
        <f>Indicadores!F230</f>
        <v>76.797768122554075</v>
      </c>
      <c r="H81" s="547">
        <f t="shared" si="6"/>
        <v>76.797768122554075</v>
      </c>
      <c r="I81" s="546" t="s">
        <v>779</v>
      </c>
    </row>
    <row r="82" spans="2:9" s="131" customFormat="1" x14ac:dyDescent="0.25">
      <c r="F82" s="546" t="s">
        <v>802</v>
      </c>
      <c r="G82" s="547">
        <f>Indicadores!G230</f>
        <v>77.181756963166833</v>
      </c>
      <c r="H82" s="547">
        <f t="shared" si="6"/>
        <v>77.181756963166833</v>
      </c>
      <c r="I82" s="546" t="s">
        <v>779</v>
      </c>
    </row>
    <row r="83" spans="2:9" s="131" customFormat="1" x14ac:dyDescent="0.25">
      <c r="F83" s="546" t="s">
        <v>801</v>
      </c>
      <c r="G83" s="547">
        <f>Indicadores!H230</f>
        <v>77.567665747982687</v>
      </c>
      <c r="H83" s="547">
        <f t="shared" si="6"/>
        <v>77.567665747982687</v>
      </c>
      <c r="I83" s="546" t="s">
        <v>779</v>
      </c>
    </row>
    <row r="84" spans="2:9" s="131" customFormat="1" x14ac:dyDescent="0.25">
      <c r="F84" s="546" t="s">
        <v>803</v>
      </c>
      <c r="G84" s="547">
        <f>Indicadores!I230</f>
        <v>77.95550407672259</v>
      </c>
      <c r="H84" s="547">
        <f t="shared" si="6"/>
        <v>77.95550407672259</v>
      </c>
      <c r="I84" s="546" t="s">
        <v>779</v>
      </c>
    </row>
    <row r="85" spans="2:9" s="131" customFormat="1" x14ac:dyDescent="0.25">
      <c r="F85" s="542" t="s">
        <v>803</v>
      </c>
      <c r="G85" s="543">
        <f>Indicadores!J230</f>
        <v>78.345281597106208</v>
      </c>
      <c r="H85" s="543">
        <f t="shared" si="6"/>
        <v>78.345281597106208</v>
      </c>
      <c r="I85" s="542" t="s">
        <v>779</v>
      </c>
    </row>
    <row r="86" spans="2:9" s="131" customFormat="1" x14ac:dyDescent="0.25">
      <c r="F86" s="546" t="s">
        <v>802</v>
      </c>
      <c r="G86" s="547">
        <f>Indicadores!K230</f>
        <v>78.737008005091738</v>
      </c>
      <c r="H86" s="547">
        <f t="shared" si="6"/>
        <v>78.737008005091738</v>
      </c>
      <c r="I86" s="546" t="s">
        <v>779</v>
      </c>
    </row>
    <row r="87" spans="2:9" s="131" customFormat="1" x14ac:dyDescent="0.25">
      <c r="F87" s="546" t="s">
        <v>804</v>
      </c>
      <c r="G87" s="547">
        <f>Indicadores!L230</f>
        <v>79.130693045117184</v>
      </c>
      <c r="H87" s="547">
        <f t="shared" si="6"/>
        <v>79.130693045117184</v>
      </c>
      <c r="I87" s="546" t="s">
        <v>779</v>
      </c>
    </row>
    <row r="88" spans="2:9" s="131" customFormat="1" x14ac:dyDescent="0.25">
      <c r="F88" s="546" t="s">
        <v>805</v>
      </c>
      <c r="G88" s="547">
        <f>Indicadores!M230</f>
        <v>79.52634651034279</v>
      </c>
      <c r="H88" s="547">
        <f t="shared" si="6"/>
        <v>79.52634651034279</v>
      </c>
      <c r="I88" s="546" t="s">
        <v>779</v>
      </c>
    </row>
    <row r="89" spans="2:9" s="131" customFormat="1" x14ac:dyDescent="0.25">
      <c r="F89" s="546" t="s">
        <v>806</v>
      </c>
      <c r="G89" s="547">
        <f>Indicadores!N230</f>
        <v>79.923978242894492</v>
      </c>
      <c r="H89" s="547">
        <f t="shared" si="6"/>
        <v>79.923978242894492</v>
      </c>
      <c r="I89" s="546" t="s">
        <v>779</v>
      </c>
    </row>
    <row r="90" spans="2:9" x14ac:dyDescent="0.25">
      <c r="F90" s="546" t="s">
        <v>807</v>
      </c>
      <c r="G90" s="547">
        <f>Indicadores!O230</f>
        <v>80.323598134108977</v>
      </c>
      <c r="H90" s="547">
        <f t="shared" si="6"/>
        <v>80.323598134108977</v>
      </c>
      <c r="I90" s="546" t="s">
        <v>779</v>
      </c>
    </row>
    <row r="91" spans="2:9" s="131" customFormat="1" x14ac:dyDescent="0.25">
      <c r="G91" s="493"/>
      <c r="H91" s="493"/>
    </row>
    <row r="92" spans="2:9" s="131" customFormat="1" x14ac:dyDescent="0.25">
      <c r="B92" s="131" t="s">
        <v>871</v>
      </c>
      <c r="F92" s="546" t="s">
        <v>819</v>
      </c>
      <c r="G92" s="547">
        <f>Indicadores!E220</f>
        <v>9000</v>
      </c>
      <c r="H92" s="547">
        <f t="shared" si="6"/>
        <v>9000</v>
      </c>
      <c r="I92" s="546" t="s">
        <v>779</v>
      </c>
    </row>
    <row r="93" spans="2:9" s="131" customFormat="1" x14ac:dyDescent="0.25">
      <c r="F93" s="546" t="s">
        <v>801</v>
      </c>
      <c r="G93" s="547">
        <f>Indicadores!F220</f>
        <v>9000</v>
      </c>
      <c r="H93" s="547">
        <f t="shared" si="6"/>
        <v>9000</v>
      </c>
      <c r="I93" s="546" t="s">
        <v>779</v>
      </c>
    </row>
    <row r="94" spans="2:9" s="131" customFormat="1" x14ac:dyDescent="0.25">
      <c r="F94" s="546" t="s">
        <v>802</v>
      </c>
      <c r="G94" s="547">
        <f>Indicadores!G220</f>
        <v>9000</v>
      </c>
      <c r="H94" s="547">
        <f t="shared" si="6"/>
        <v>9000</v>
      </c>
      <c r="I94" s="546" t="s">
        <v>779</v>
      </c>
    </row>
    <row r="95" spans="2:9" s="131" customFormat="1" x14ac:dyDescent="0.25">
      <c r="F95" s="546" t="s">
        <v>801</v>
      </c>
      <c r="G95" s="547">
        <f>Indicadores!H220</f>
        <v>9000</v>
      </c>
      <c r="H95" s="547">
        <f t="shared" si="6"/>
        <v>9000</v>
      </c>
      <c r="I95" s="546" t="s">
        <v>779</v>
      </c>
    </row>
    <row r="96" spans="2:9" s="131" customFormat="1" x14ac:dyDescent="0.25">
      <c r="F96" s="546" t="s">
        <v>803</v>
      </c>
      <c r="G96" s="547">
        <f>Indicadores!I220</f>
        <v>9000</v>
      </c>
      <c r="H96" s="547">
        <f t="shared" si="6"/>
        <v>9000</v>
      </c>
      <c r="I96" s="546" t="s">
        <v>779</v>
      </c>
    </row>
    <row r="97" spans="2:9" s="131" customFormat="1" x14ac:dyDescent="0.25">
      <c r="F97" s="542" t="s">
        <v>803</v>
      </c>
      <c r="G97" s="543">
        <f>Indicadores!J220</f>
        <v>9000</v>
      </c>
      <c r="H97" s="543">
        <f t="shared" si="6"/>
        <v>9000</v>
      </c>
      <c r="I97" s="542" t="s">
        <v>779</v>
      </c>
    </row>
    <row r="98" spans="2:9" s="131" customFormat="1" x14ac:dyDescent="0.25">
      <c r="F98" s="546" t="s">
        <v>802</v>
      </c>
      <c r="G98" s="547">
        <f>Indicadores!K220</f>
        <v>9000</v>
      </c>
      <c r="H98" s="547">
        <f t="shared" si="6"/>
        <v>9000</v>
      </c>
      <c r="I98" s="546" t="s">
        <v>779</v>
      </c>
    </row>
    <row r="99" spans="2:9" s="131" customFormat="1" x14ac:dyDescent="0.25">
      <c r="F99" s="546" t="s">
        <v>804</v>
      </c>
      <c r="G99" s="547">
        <f>Indicadores!L220</f>
        <v>9000</v>
      </c>
      <c r="H99" s="547">
        <f t="shared" si="6"/>
        <v>9000</v>
      </c>
      <c r="I99" s="546" t="s">
        <v>779</v>
      </c>
    </row>
    <row r="100" spans="2:9" s="131" customFormat="1" x14ac:dyDescent="0.25">
      <c r="F100" s="546" t="s">
        <v>805</v>
      </c>
      <c r="G100" s="547">
        <f>Indicadores!M220</f>
        <v>9000</v>
      </c>
      <c r="H100" s="547">
        <f t="shared" si="6"/>
        <v>9000</v>
      </c>
      <c r="I100" s="546" t="s">
        <v>779</v>
      </c>
    </row>
    <row r="101" spans="2:9" s="131" customFormat="1" x14ac:dyDescent="0.25">
      <c r="F101" s="546" t="s">
        <v>806</v>
      </c>
      <c r="G101" s="547">
        <f>Indicadores!N220</f>
        <v>9000</v>
      </c>
      <c r="H101" s="547">
        <f t="shared" si="6"/>
        <v>9000</v>
      </c>
      <c r="I101" s="546" t="s">
        <v>779</v>
      </c>
    </row>
    <row r="102" spans="2:9" s="131" customFormat="1" x14ac:dyDescent="0.25">
      <c r="F102" s="546" t="s">
        <v>807</v>
      </c>
      <c r="G102" s="547">
        <f>Indicadores!O220</f>
        <v>9000</v>
      </c>
      <c r="H102" s="547">
        <f t="shared" si="6"/>
        <v>9000</v>
      </c>
      <c r="I102" s="546" t="s">
        <v>779</v>
      </c>
    </row>
    <row r="103" spans="2:9" s="131" customFormat="1" x14ac:dyDescent="0.25">
      <c r="G103" s="493"/>
      <c r="H103" s="493"/>
    </row>
    <row r="104" spans="2:9" s="131" customFormat="1" x14ac:dyDescent="0.25">
      <c r="B104" s="131" t="s">
        <v>872</v>
      </c>
      <c r="F104" s="546" t="s">
        <v>779</v>
      </c>
      <c r="G104" s="547">
        <f>H104</f>
        <v>18000</v>
      </c>
      <c r="H104" s="547">
        <f>Indicadores!E215</f>
        <v>18000</v>
      </c>
      <c r="I104" s="546" t="s">
        <v>820</v>
      </c>
    </row>
    <row r="105" spans="2:9" s="131" customFormat="1" x14ac:dyDescent="0.25">
      <c r="F105" s="546" t="s">
        <v>779</v>
      </c>
      <c r="G105" s="547">
        <f t="shared" ref="G105:G114" si="7">H105</f>
        <v>18000</v>
      </c>
      <c r="H105" s="547">
        <f>Indicadores!F215</f>
        <v>18000</v>
      </c>
      <c r="I105" s="546" t="s">
        <v>801</v>
      </c>
    </row>
    <row r="106" spans="2:9" s="131" customFormat="1" x14ac:dyDescent="0.25">
      <c r="F106" s="546" t="s">
        <v>779</v>
      </c>
      <c r="G106" s="547">
        <f t="shared" si="7"/>
        <v>18000</v>
      </c>
      <c r="H106" s="547">
        <f>Indicadores!G215</f>
        <v>18000</v>
      </c>
      <c r="I106" s="546" t="s">
        <v>802</v>
      </c>
    </row>
    <row r="107" spans="2:9" s="131" customFormat="1" x14ac:dyDescent="0.25">
      <c r="F107" s="546" t="s">
        <v>779</v>
      </c>
      <c r="G107" s="547">
        <f t="shared" si="7"/>
        <v>18000</v>
      </c>
      <c r="H107" s="547">
        <f>Indicadores!H215</f>
        <v>18000</v>
      </c>
      <c r="I107" s="546" t="s">
        <v>801</v>
      </c>
    </row>
    <row r="108" spans="2:9" s="131" customFormat="1" x14ac:dyDescent="0.25">
      <c r="F108" s="546" t="s">
        <v>779</v>
      </c>
      <c r="G108" s="547">
        <f t="shared" si="7"/>
        <v>18000</v>
      </c>
      <c r="H108" s="547">
        <f>Indicadores!I215</f>
        <v>18000</v>
      </c>
      <c r="I108" s="546" t="s">
        <v>803</v>
      </c>
    </row>
    <row r="109" spans="2:9" s="131" customFormat="1" x14ac:dyDescent="0.25">
      <c r="F109" s="542" t="s">
        <v>779</v>
      </c>
      <c r="G109" s="543">
        <f t="shared" si="7"/>
        <v>18000</v>
      </c>
      <c r="H109" s="543">
        <f>Indicadores!J215</f>
        <v>18000</v>
      </c>
      <c r="I109" s="542" t="s">
        <v>803</v>
      </c>
    </row>
    <row r="110" spans="2:9" s="131" customFormat="1" x14ac:dyDescent="0.25">
      <c r="F110" s="546" t="s">
        <v>779</v>
      </c>
      <c r="G110" s="547">
        <f t="shared" si="7"/>
        <v>18000</v>
      </c>
      <c r="H110" s="547">
        <f>Indicadores!K215</f>
        <v>18000</v>
      </c>
      <c r="I110" s="546" t="s">
        <v>802</v>
      </c>
    </row>
    <row r="111" spans="2:9" s="131" customFormat="1" x14ac:dyDescent="0.25">
      <c r="F111" s="546" t="s">
        <v>779</v>
      </c>
      <c r="G111" s="547">
        <f t="shared" si="7"/>
        <v>18000</v>
      </c>
      <c r="H111" s="547">
        <f>Indicadores!L215</f>
        <v>18000</v>
      </c>
      <c r="I111" s="546" t="s">
        <v>804</v>
      </c>
    </row>
    <row r="112" spans="2:9" s="131" customFormat="1" x14ac:dyDescent="0.25">
      <c r="F112" s="546" t="s">
        <v>779</v>
      </c>
      <c r="G112" s="547">
        <f t="shared" si="7"/>
        <v>18000</v>
      </c>
      <c r="H112" s="547">
        <f>Indicadores!M215</f>
        <v>18000</v>
      </c>
      <c r="I112" s="546" t="s">
        <v>805</v>
      </c>
    </row>
    <row r="113" spans="2:9" s="131" customFormat="1" x14ac:dyDescent="0.25">
      <c r="F113" s="546" t="s">
        <v>779</v>
      </c>
      <c r="G113" s="547">
        <f t="shared" si="7"/>
        <v>18000</v>
      </c>
      <c r="H113" s="547">
        <f>Indicadores!N215</f>
        <v>18000</v>
      </c>
      <c r="I113" s="546" t="s">
        <v>806</v>
      </c>
    </row>
    <row r="114" spans="2:9" s="131" customFormat="1" x14ac:dyDescent="0.25">
      <c r="F114" s="546" t="s">
        <v>779</v>
      </c>
      <c r="G114" s="547">
        <f t="shared" si="7"/>
        <v>18000</v>
      </c>
      <c r="H114" s="547">
        <f>Indicadores!O215</f>
        <v>18000</v>
      </c>
      <c r="I114" s="546" t="s">
        <v>807</v>
      </c>
    </row>
    <row r="115" spans="2:9" s="131" customFormat="1" x14ac:dyDescent="0.25">
      <c r="G115" s="493"/>
      <c r="H115" s="493"/>
    </row>
    <row r="116" spans="2:9" x14ac:dyDescent="0.25">
      <c r="B116" t="s">
        <v>873</v>
      </c>
      <c r="F116" s="546" t="s">
        <v>797</v>
      </c>
      <c r="G116" s="547">
        <f>(Indicadores!F133+Indicadores!F134)*12</f>
        <v>750</v>
      </c>
      <c r="H116" s="547">
        <v>1500</v>
      </c>
      <c r="I116" s="546" t="s">
        <v>795</v>
      </c>
    </row>
    <row r="117" spans="2:9" x14ac:dyDescent="0.25">
      <c r="B117" s="131" t="s">
        <v>874</v>
      </c>
      <c r="F117" s="546" t="s">
        <v>798</v>
      </c>
      <c r="G117" s="547">
        <f>Indicadores!F132*12</f>
        <v>210</v>
      </c>
      <c r="H117" s="547">
        <v>700</v>
      </c>
      <c r="I117" s="546" t="s">
        <v>794</v>
      </c>
    </row>
    <row r="119" spans="2:9" x14ac:dyDescent="0.25">
      <c r="B119" t="s">
        <v>875</v>
      </c>
      <c r="F119" s="546" t="s">
        <v>818</v>
      </c>
      <c r="G119" s="547">
        <f>H119</f>
        <v>2870.1027481630322</v>
      </c>
      <c r="H119" s="547">
        <f>Indicadores!O233</f>
        <v>2870.1027481630322</v>
      </c>
      <c r="I119" s="546" t="s">
        <v>817</v>
      </c>
    </row>
    <row r="120" spans="2:9" x14ac:dyDescent="0.25">
      <c r="F120" s="546" t="s">
        <v>821</v>
      </c>
      <c r="G120" s="547">
        <f>H120</f>
        <v>3826.8036642173761</v>
      </c>
      <c r="H120" s="547">
        <f>Indicadores!O232</f>
        <v>3826.8036642173761</v>
      </c>
      <c r="I120" s="546" t="s">
        <v>817</v>
      </c>
    </row>
    <row r="122" spans="2:9" x14ac:dyDescent="0.25">
      <c r="C122" s="4" t="s">
        <v>878</v>
      </c>
      <c r="F122" s="492">
        <f>G28+SUM(G104:G114)-SUM(H31:H102)-SUM(H119:H120)</f>
        <v>21477.367442256236</v>
      </c>
    </row>
    <row r="125" spans="2:9" x14ac:dyDescent="0.25">
      <c r="F125" t="s">
        <v>822</v>
      </c>
      <c r="G125" s="493">
        <f>H23+SUM(H104:H114)</f>
        <v>216000</v>
      </c>
    </row>
    <row r="126" spans="2:9" x14ac:dyDescent="0.25">
      <c r="F126" t="s">
        <v>823</v>
      </c>
      <c r="G126" s="493">
        <f>G24+SUM(G92:G102)</f>
        <v>108000</v>
      </c>
    </row>
    <row r="127" spans="2:9" s="131" customFormat="1" x14ac:dyDescent="0.25">
      <c r="F127" s="131" t="s">
        <v>778</v>
      </c>
      <c r="G127" s="493">
        <f>G10</f>
        <v>3700</v>
      </c>
      <c r="H127" s="493"/>
    </row>
    <row r="128" spans="2:9" s="131" customFormat="1" x14ac:dyDescent="0.25">
      <c r="F128" s="131" t="s">
        <v>825</v>
      </c>
      <c r="G128" s="493">
        <f>G12+G13</f>
        <v>2600</v>
      </c>
      <c r="H128" s="493"/>
    </row>
    <row r="129" spans="5:9" s="131" customFormat="1" x14ac:dyDescent="0.25">
      <c r="F129" s="131" t="s">
        <v>799</v>
      </c>
      <c r="G129" s="493">
        <f>G17+G18+G20</f>
        <v>6571.5249999999996</v>
      </c>
      <c r="H129" s="493"/>
    </row>
    <row r="130" spans="5:9" s="131" customFormat="1" x14ac:dyDescent="0.25">
      <c r="F130" s="131" t="s">
        <v>826</v>
      </c>
      <c r="G130" s="493">
        <f>SUM(G31:G78)</f>
        <v>78861.260343130474</v>
      </c>
      <c r="H130" s="493"/>
    </row>
    <row r="131" spans="5:9" x14ac:dyDescent="0.25">
      <c r="F131" t="s">
        <v>824</v>
      </c>
      <c r="G131" s="493">
        <f>G116+G117</f>
        <v>960</v>
      </c>
    </row>
    <row r="132" spans="5:9" x14ac:dyDescent="0.25">
      <c r="I132" t="s">
        <v>827</v>
      </c>
    </row>
    <row r="133" spans="5:9" x14ac:dyDescent="0.25">
      <c r="E133" t="s">
        <v>705</v>
      </c>
      <c r="G133" s="493">
        <f>G125-SUM(G126:G131)</f>
        <v>15307.214656869532</v>
      </c>
      <c r="I133" s="492">
        <f>Indicadores!D371-G133</f>
        <v>-2.7284841053187847E-11</v>
      </c>
    </row>
  </sheetData>
  <pageMargins left="0.7" right="0.7" top="0.75" bottom="0.75" header="0.3" footer="0.3"/>
  <ignoredErrors>
    <ignoredError sqref="G1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Modelo</vt:lpstr>
      <vt:lpstr>Indicadores</vt:lpstr>
      <vt:lpstr>Sector</vt:lpstr>
      <vt:lpstr>Asientos</vt:lpstr>
      <vt:lpstr>E__Sería_excepcional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Serrano" &lt;serrano@posta.unizar.es&gt;;Begoña Gutiérrez Nieto</dc:creator>
  <cp:lastModifiedBy>Carlos</cp:lastModifiedBy>
  <dcterms:created xsi:type="dcterms:W3CDTF">2010-05-12T13:46:15Z</dcterms:created>
  <dcterms:modified xsi:type="dcterms:W3CDTF">2011-10-05T08:41:18Z</dcterms:modified>
</cp:coreProperties>
</file>